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9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0">Hoja1!$A$1:$AG$243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3" i="1" l="1"/>
  <c r="U242" i="1"/>
  <c r="U241" i="1"/>
  <c r="U240" i="1"/>
  <c r="U239" i="1"/>
  <c r="V238" i="1"/>
  <c r="W238" i="1" s="1"/>
  <c r="U238" i="1"/>
  <c r="X238" i="1" s="1"/>
  <c r="Y238" i="1" s="1"/>
  <c r="K238" i="1"/>
  <c r="U237" i="1"/>
  <c r="U236" i="1"/>
  <c r="U235" i="1"/>
  <c r="U234" i="1"/>
  <c r="U233" i="1"/>
  <c r="X232" i="1"/>
  <c r="Y232" i="1" s="1"/>
  <c r="U232" i="1"/>
  <c r="K232" i="1"/>
  <c r="V232" i="1" l="1"/>
  <c r="W232" i="1" s="1"/>
  <c r="Z232" i="1" s="1"/>
  <c r="Z238" i="1"/>
  <c r="U231" i="1" l="1"/>
  <c r="U230" i="1"/>
  <c r="U229" i="1"/>
  <c r="U228" i="1"/>
  <c r="U227" i="1"/>
  <c r="V226" i="1" s="1"/>
  <c r="W226" i="1" s="1"/>
  <c r="U226" i="1"/>
  <c r="X226" i="1" s="1"/>
  <c r="Y226" i="1" s="1"/>
  <c r="K226" i="1"/>
  <c r="U225" i="1"/>
  <c r="U224" i="1"/>
  <c r="U223" i="1"/>
  <c r="U222" i="1"/>
  <c r="U221" i="1"/>
  <c r="V220" i="1"/>
  <c r="W220" i="1" s="1"/>
  <c r="U220" i="1"/>
  <c r="X220" i="1" s="1"/>
  <c r="Y220" i="1" s="1"/>
  <c r="K220" i="1"/>
  <c r="Z226" i="1" l="1"/>
  <c r="Z220" i="1"/>
  <c r="U219" i="1" l="1"/>
  <c r="U218" i="1"/>
  <c r="U217" i="1"/>
  <c r="U216" i="1"/>
  <c r="U215" i="1"/>
  <c r="X214" i="1"/>
  <c r="Y214" i="1" s="1"/>
  <c r="U214" i="1"/>
  <c r="V214" i="1" s="1"/>
  <c r="W214" i="1" s="1"/>
  <c r="K214" i="1"/>
  <c r="U213" i="1"/>
  <c r="U212" i="1"/>
  <c r="U211" i="1"/>
  <c r="U210" i="1"/>
  <c r="U209" i="1"/>
  <c r="U208" i="1"/>
  <c r="X208" i="1" s="1"/>
  <c r="Y208" i="1" s="1"/>
  <c r="K208" i="1"/>
  <c r="U207" i="1"/>
  <c r="U206" i="1"/>
  <c r="U205" i="1"/>
  <c r="U204" i="1"/>
  <c r="U203" i="1"/>
  <c r="V202" i="1"/>
  <c r="W202" i="1" s="1"/>
  <c r="U202" i="1"/>
  <c r="K202" i="1"/>
  <c r="U201" i="1"/>
  <c r="U200" i="1"/>
  <c r="U199" i="1"/>
  <c r="U198" i="1"/>
  <c r="U197" i="1"/>
  <c r="U196" i="1"/>
  <c r="V196" i="1" s="1"/>
  <c r="W196" i="1" s="1"/>
  <c r="K196" i="1"/>
  <c r="U195" i="1"/>
  <c r="U194" i="1"/>
  <c r="U193" i="1"/>
  <c r="U192" i="1"/>
  <c r="X190" i="1" s="1"/>
  <c r="Y190" i="1" s="1"/>
  <c r="U191" i="1"/>
  <c r="U190" i="1"/>
  <c r="K190" i="1"/>
  <c r="U189" i="1"/>
  <c r="U188" i="1"/>
  <c r="U187" i="1"/>
  <c r="U186" i="1"/>
  <c r="X184" i="1" s="1"/>
  <c r="Y184" i="1" s="1"/>
  <c r="U185" i="1"/>
  <c r="U184" i="1"/>
  <c r="K184" i="1"/>
  <c r="V184" i="1" l="1"/>
  <c r="W184" i="1" s="1"/>
  <c r="X202" i="1"/>
  <c r="Y202" i="1" s="1"/>
  <c r="X196" i="1"/>
  <c r="Y196" i="1" s="1"/>
  <c r="V208" i="1"/>
  <c r="W208" i="1" s="1"/>
  <c r="Z208" i="1" s="1"/>
  <c r="V190" i="1"/>
  <c r="W190" i="1" s="1"/>
  <c r="Z190" i="1" s="1"/>
  <c r="Z214" i="1"/>
  <c r="Z184" i="1"/>
  <c r="Z196" i="1"/>
  <c r="Z202" i="1"/>
  <c r="U183" i="1" l="1"/>
  <c r="U182" i="1"/>
  <c r="U181" i="1"/>
  <c r="U180" i="1"/>
  <c r="U179" i="1"/>
  <c r="X178" i="1"/>
  <c r="Y178" i="1" s="1"/>
  <c r="U178" i="1"/>
  <c r="V178" i="1" s="1"/>
  <c r="W178" i="1" s="1"/>
  <c r="K178" i="1"/>
  <c r="U177" i="1"/>
  <c r="U176" i="1"/>
  <c r="U175" i="1"/>
  <c r="U174" i="1"/>
  <c r="U173" i="1"/>
  <c r="X172" i="1"/>
  <c r="Y172" i="1" s="1"/>
  <c r="U172" i="1"/>
  <c r="V172" i="1" s="1"/>
  <c r="W172" i="1" s="1"/>
  <c r="Z172" i="1" s="1"/>
  <c r="K172" i="1"/>
  <c r="U171" i="1"/>
  <c r="U170" i="1"/>
  <c r="U169" i="1"/>
  <c r="U168" i="1"/>
  <c r="U167" i="1"/>
  <c r="X166" i="1"/>
  <c r="Y166" i="1" s="1"/>
  <c r="U166" i="1"/>
  <c r="K166" i="1"/>
  <c r="V166" i="1" l="1"/>
  <c r="W166" i="1" s="1"/>
  <c r="Z166" i="1" s="1"/>
  <c r="Z178" i="1"/>
  <c r="U165" i="1" l="1"/>
  <c r="U164" i="1"/>
  <c r="U163" i="1"/>
  <c r="U162" i="1"/>
  <c r="U161" i="1"/>
  <c r="U160" i="1"/>
  <c r="V160" i="1" s="1"/>
  <c r="W160" i="1" s="1"/>
  <c r="K160" i="1"/>
  <c r="U159" i="1"/>
  <c r="U158" i="1"/>
  <c r="U157" i="1"/>
  <c r="U156" i="1"/>
  <c r="U155" i="1"/>
  <c r="U154" i="1"/>
  <c r="K154" i="1"/>
  <c r="V154" i="1" l="1"/>
  <c r="W154" i="1" s="1"/>
  <c r="X154" i="1"/>
  <c r="Y154" i="1" s="1"/>
  <c r="X160" i="1"/>
  <c r="Y160" i="1" s="1"/>
  <c r="Z160" i="1"/>
  <c r="Z154" i="1"/>
  <c r="U153" i="1" l="1"/>
  <c r="U152" i="1"/>
  <c r="U151" i="1"/>
  <c r="U150" i="1"/>
  <c r="U149" i="1"/>
  <c r="V148" i="1"/>
  <c r="W148" i="1" s="1"/>
  <c r="U148" i="1"/>
  <c r="X148" i="1" s="1"/>
  <c r="Y148" i="1" s="1"/>
  <c r="K148" i="1"/>
  <c r="Z148" i="1" l="1"/>
  <c r="U147" i="1"/>
  <c r="U146" i="1"/>
  <c r="U145" i="1"/>
  <c r="U144" i="1"/>
  <c r="U143" i="1"/>
  <c r="X142" i="1" s="1"/>
  <c r="Y142" i="1" s="1"/>
  <c r="U142" i="1"/>
  <c r="K142" i="1"/>
  <c r="V142" i="1" l="1"/>
  <c r="W142" i="1" s="1"/>
  <c r="Z142" i="1" s="1"/>
  <c r="U141" i="1"/>
  <c r="U140" i="1"/>
  <c r="U139" i="1"/>
  <c r="U138" i="1"/>
  <c r="V136" i="1" s="1"/>
  <c r="W136" i="1" s="1"/>
  <c r="U137" i="1"/>
  <c r="U136" i="1"/>
  <c r="K136" i="1"/>
  <c r="X136" i="1" l="1"/>
  <c r="Y136" i="1" s="1"/>
  <c r="Z136" i="1" s="1"/>
  <c r="U135" i="1" l="1"/>
  <c r="U134" i="1"/>
  <c r="U133" i="1"/>
  <c r="U132" i="1"/>
  <c r="U131" i="1"/>
  <c r="V130" i="1" s="1"/>
  <c r="W130" i="1" s="1"/>
  <c r="U130" i="1"/>
  <c r="X130" i="1" s="1"/>
  <c r="Y130" i="1" s="1"/>
  <c r="K130" i="1"/>
  <c r="Z130" i="1" l="1"/>
  <c r="U129" i="1" l="1"/>
  <c r="U128" i="1"/>
  <c r="U127" i="1"/>
  <c r="U126" i="1"/>
  <c r="U125" i="1"/>
  <c r="X124" i="1"/>
  <c r="Y124" i="1" s="1"/>
  <c r="U124" i="1"/>
  <c r="V124" i="1" s="1"/>
  <c r="W124" i="1" s="1"/>
  <c r="Z124" i="1" s="1"/>
  <c r="K124" i="1"/>
  <c r="U123" i="1"/>
  <c r="U122" i="1"/>
  <c r="U121" i="1"/>
  <c r="U120" i="1"/>
  <c r="U119" i="1"/>
  <c r="X118" i="1"/>
  <c r="Y118" i="1" s="1"/>
  <c r="U118" i="1"/>
  <c r="V118" i="1" s="1"/>
  <c r="W118" i="1" s="1"/>
  <c r="K118" i="1"/>
  <c r="U117" i="1"/>
  <c r="U116" i="1"/>
  <c r="U115" i="1"/>
  <c r="U114" i="1"/>
  <c r="U113" i="1"/>
  <c r="X112" i="1" s="1"/>
  <c r="Y112" i="1" s="1"/>
  <c r="U112" i="1"/>
  <c r="V112" i="1" s="1"/>
  <c r="W112" i="1" s="1"/>
  <c r="K112" i="1"/>
  <c r="U111" i="1"/>
  <c r="U110" i="1"/>
  <c r="U109" i="1"/>
  <c r="U108" i="1"/>
  <c r="U107" i="1"/>
  <c r="X106" i="1"/>
  <c r="Y106" i="1" s="1"/>
  <c r="U106" i="1"/>
  <c r="K106" i="1"/>
  <c r="Z118" i="1" l="1"/>
  <c r="V106" i="1"/>
  <c r="W106" i="1" s="1"/>
  <c r="Z106" i="1" s="1"/>
  <c r="Z112" i="1"/>
  <c r="U105" i="1" l="1"/>
  <c r="U104" i="1"/>
  <c r="U103" i="1"/>
  <c r="U102" i="1"/>
  <c r="X100" i="1" s="1"/>
  <c r="Y100" i="1" s="1"/>
  <c r="U101" i="1"/>
  <c r="U100" i="1"/>
  <c r="K100" i="1"/>
  <c r="U99" i="1"/>
  <c r="U98" i="1"/>
  <c r="U97" i="1"/>
  <c r="U96" i="1"/>
  <c r="U95" i="1"/>
  <c r="U94" i="1"/>
  <c r="K94" i="1"/>
  <c r="U93" i="1"/>
  <c r="U92" i="1"/>
  <c r="U91" i="1"/>
  <c r="U90" i="1"/>
  <c r="X88" i="1" s="1"/>
  <c r="Y88" i="1" s="1"/>
  <c r="U89" i="1"/>
  <c r="V88" i="1"/>
  <c r="W88" i="1" s="1"/>
  <c r="U88" i="1"/>
  <c r="K88" i="1"/>
  <c r="U87" i="1"/>
  <c r="U86" i="1"/>
  <c r="U85" i="1"/>
  <c r="U84" i="1"/>
  <c r="X82" i="1" s="1"/>
  <c r="Y82" i="1" s="1"/>
  <c r="U83" i="1"/>
  <c r="U82" i="1"/>
  <c r="K82" i="1"/>
  <c r="U81" i="1"/>
  <c r="U80" i="1"/>
  <c r="U79" i="1"/>
  <c r="U78" i="1"/>
  <c r="U77" i="1"/>
  <c r="X76" i="1"/>
  <c r="Y76" i="1" s="1"/>
  <c r="U76" i="1"/>
  <c r="K76" i="1"/>
  <c r="V94" i="1" l="1"/>
  <c r="W94" i="1" s="1"/>
  <c r="V100" i="1"/>
  <c r="W100" i="1" s="1"/>
  <c r="Z100" i="1" s="1"/>
  <c r="Z88" i="1"/>
  <c r="V76" i="1"/>
  <c r="W76" i="1" s="1"/>
  <c r="Z76" i="1" s="1"/>
  <c r="V82" i="1"/>
  <c r="W82" i="1" s="1"/>
  <c r="Z82" i="1" s="1"/>
  <c r="X94" i="1"/>
  <c r="Y94" i="1" s="1"/>
  <c r="Z94" i="1" s="1"/>
  <c r="U75" i="1"/>
  <c r="U74" i="1"/>
  <c r="U73" i="1"/>
  <c r="U72" i="1"/>
  <c r="U71" i="1"/>
  <c r="X70" i="1"/>
  <c r="Y70" i="1" s="1"/>
  <c r="U70" i="1"/>
  <c r="V70" i="1" s="1"/>
  <c r="W70" i="1" s="1"/>
  <c r="K70" i="1"/>
  <c r="U69" i="1"/>
  <c r="U68" i="1"/>
  <c r="U67" i="1"/>
  <c r="U66" i="1"/>
  <c r="U65" i="1"/>
  <c r="X64" i="1"/>
  <c r="Y64" i="1" s="1"/>
  <c r="U64" i="1"/>
  <c r="K64" i="1"/>
  <c r="V64" i="1" l="1"/>
  <c r="W64" i="1" s="1"/>
  <c r="Z64" i="1" s="1"/>
  <c r="Z70" i="1"/>
  <c r="K40" i="1" l="1"/>
  <c r="K46" i="1"/>
  <c r="K52" i="1"/>
  <c r="K58" i="1"/>
  <c r="X58" i="1"/>
  <c r="Y58" i="1" s="1"/>
  <c r="U40" i="1"/>
  <c r="U41" i="1"/>
  <c r="U42" i="1"/>
  <c r="X40" i="1" s="1"/>
  <c r="Y40" i="1" s="1"/>
  <c r="U43" i="1"/>
  <c r="U44" i="1"/>
  <c r="U45" i="1"/>
  <c r="U46" i="1"/>
  <c r="V46" i="1" s="1"/>
  <c r="W46" i="1" s="1"/>
  <c r="U47" i="1"/>
  <c r="X46" i="1" s="1"/>
  <c r="Y46" i="1" s="1"/>
  <c r="U48" i="1"/>
  <c r="U49" i="1"/>
  <c r="U50" i="1"/>
  <c r="U51" i="1"/>
  <c r="U52" i="1"/>
  <c r="U53" i="1"/>
  <c r="U54" i="1"/>
  <c r="X52" i="1" s="1"/>
  <c r="Y52" i="1" s="1"/>
  <c r="U55" i="1"/>
  <c r="U56" i="1"/>
  <c r="U57" i="1"/>
  <c r="U58" i="1"/>
  <c r="V58" i="1" s="1"/>
  <c r="W58" i="1" s="1"/>
  <c r="U59" i="1"/>
  <c r="U60" i="1"/>
  <c r="U61" i="1"/>
  <c r="U62" i="1"/>
  <c r="U63" i="1"/>
  <c r="V52" i="1" l="1"/>
  <c r="W52" i="1" s="1"/>
  <c r="Z52" i="1" s="1"/>
  <c r="V40" i="1"/>
  <c r="W40" i="1" s="1"/>
  <c r="Z40" i="1" s="1"/>
  <c r="Z58" i="1"/>
  <c r="Z46" i="1"/>
  <c r="U39" i="1" l="1"/>
  <c r="U38" i="1"/>
  <c r="U37" i="1"/>
  <c r="U36" i="1"/>
  <c r="U35" i="1"/>
  <c r="X34" i="1"/>
  <c r="Y34" i="1" s="1"/>
  <c r="U34" i="1"/>
  <c r="V34" i="1" s="1"/>
  <c r="W34" i="1" s="1"/>
  <c r="Z34" i="1" s="1"/>
  <c r="K34" i="1"/>
  <c r="U33" i="1"/>
  <c r="U32" i="1"/>
  <c r="U31" i="1"/>
  <c r="U30" i="1"/>
  <c r="U29" i="1"/>
  <c r="X28" i="1"/>
  <c r="Y28" i="1" s="1"/>
  <c r="U28" i="1"/>
  <c r="K28" i="1"/>
  <c r="U27" i="1"/>
  <c r="U26" i="1"/>
  <c r="U25" i="1"/>
  <c r="U24" i="1"/>
  <c r="U23" i="1"/>
  <c r="X22" i="1"/>
  <c r="Y22" i="1" s="1"/>
  <c r="U22" i="1"/>
  <c r="K22" i="1"/>
  <c r="U21" i="1"/>
  <c r="U20" i="1"/>
  <c r="U19" i="1"/>
  <c r="U18" i="1"/>
  <c r="U17" i="1"/>
  <c r="V16" i="1"/>
  <c r="W16" i="1" s="1"/>
  <c r="U16" i="1"/>
  <c r="K16" i="1"/>
  <c r="U15" i="1"/>
  <c r="U14" i="1"/>
  <c r="U13" i="1"/>
  <c r="U12" i="1"/>
  <c r="U11" i="1"/>
  <c r="X10" i="1"/>
  <c r="Y10" i="1" s="1"/>
  <c r="U10" i="1"/>
  <c r="V10" i="1" s="1"/>
  <c r="W10" i="1" s="1"/>
  <c r="Z10" i="1" s="1"/>
  <c r="K10" i="1"/>
  <c r="V28" i="1" l="1"/>
  <c r="W28" i="1" s="1"/>
  <c r="Z28" i="1" s="1"/>
  <c r="X16" i="1"/>
  <c r="Y16" i="1" s="1"/>
  <c r="Z16" i="1" s="1"/>
  <c r="V22" i="1"/>
  <c r="W22" i="1" s="1"/>
  <c r="Z22" i="1" s="1"/>
</calcChain>
</file>

<file path=xl/comments1.xml><?xml version="1.0" encoding="utf-8"?>
<comments xmlns="http://schemas.openxmlformats.org/spreadsheetml/2006/main">
  <authors>
    <author>df</author>
  </authors>
  <commentList>
    <comment ref="F7" authorId="0">
      <text>
        <r>
          <rPr>
            <sz val="9"/>
            <color indexed="81"/>
            <rFont val="Tahoma"/>
            <family val="2"/>
          </rPr>
          <t>Posibilidad de que por acción u omisión, se use el poder para poder desviar la gestión de lo público hacia un beneficio privado.</t>
        </r>
      </text>
    </comment>
    <comment ref="G7" authorId="0">
      <text>
        <r>
          <rPr>
            <sz val="9"/>
            <color indexed="81"/>
            <rFont val="Tahoma"/>
            <family val="2"/>
          </rPr>
          <t>Es necesario que en la descripción del riesgo concurran los componentes de su definición: acción u omisión + uso del poder + desviación de la gestión de lo público + el beneficio privado.</t>
        </r>
      </text>
    </comment>
    <comment ref="H7" authorId="0">
      <text>
        <r>
          <rPr>
            <sz val="9"/>
            <color indexed="81"/>
            <rFont val="Tahoma"/>
            <family val="2"/>
          </rPr>
          <t>Son los efectos ocasionados por la ocurrencia de un riesgo que afecta los objetivos o procesos de la entidad. Pueden ser una pérdida, un daño, un perjuicio, un detrimento.</t>
        </r>
      </text>
    </comment>
    <comment ref="D8" authorId="0">
      <text>
        <r>
          <rPr>
            <sz val="9"/>
            <color indexed="81"/>
            <rFont val="Tahoma"/>
            <family val="2"/>
          </rPr>
          <t>Son los medios, las circunstancias y los agentes generadores, los cuales se entienden como todos los sujetos u objetos que tienen la capacidad de originar un riesgo.</t>
        </r>
      </text>
    </comment>
    <comment ref="I8" authorId="0">
      <text>
        <r>
          <rPr>
            <sz val="9"/>
            <color indexed="81"/>
            <rFont val="Tahoma"/>
            <family val="2"/>
          </rPr>
          <t>Es la oportunidad de ocurrencia de un evento de riesgo. Se mide según la frecuencia (número de veces en que se ha presentado el riesgo en un período determinado) o por la factibilidad (factores internos o externos que pueden determinar que el riesgo se presente).</t>
        </r>
      </text>
    </comment>
    <comment ref="J8" authorId="0">
      <text>
        <r>
          <rPr>
            <sz val="9"/>
            <color indexed="81"/>
            <rFont val="Tahoma"/>
            <family val="2"/>
          </rPr>
          <t>Son las consecuencias o efectos que puede generar la materialización del riesgo de corrupción en la entidad.</t>
        </r>
      </text>
    </comment>
  </commentList>
</comments>
</file>

<file path=xl/sharedStrings.xml><?xml version="1.0" encoding="utf-8"?>
<sst xmlns="http://schemas.openxmlformats.org/spreadsheetml/2006/main" count="1570" uniqueCount="543">
  <si>
    <t>MAPA INTEGRAL DE RIESGOS</t>
  </si>
  <si>
    <t>Código: GI-MG-001-FR-014</t>
  </si>
  <si>
    <t>Macroproceso: Direccionamiento Estratégico</t>
  </si>
  <si>
    <t>Versión: 02</t>
  </si>
  <si>
    <t>Proceso: Gestión Integrada</t>
  </si>
  <si>
    <t>Fecha de Aprobación: 17/11/2017</t>
  </si>
  <si>
    <t>PROCESO</t>
  </si>
  <si>
    <t xml:space="preserve">OBJETIVO DEL PROCESO  </t>
  </si>
  <si>
    <t>CONTEXTO ESTRATÉGICO</t>
  </si>
  <si>
    <t>RIESGO</t>
  </si>
  <si>
    <t>DEFINICIÓN</t>
  </si>
  <si>
    <t>CONSECUENCIAS</t>
  </si>
  <si>
    <t>CLASIFICACIÓN</t>
  </si>
  <si>
    <t xml:space="preserve">EVALUACIÓN DEL RIESGO </t>
  </si>
  <si>
    <t>CAUSAS</t>
  </si>
  <si>
    <t>PROBABILIDAD</t>
  </si>
  <si>
    <t xml:space="preserve">IMPACTO </t>
  </si>
  <si>
    <t>ZONA DE RIESGO</t>
  </si>
  <si>
    <t>CONTROLES</t>
  </si>
  <si>
    <t>TIPO DE CONTROL</t>
  </si>
  <si>
    <t>CRITERIOS PARA LA EVALUACIÓN / CRITERIO DE MEDICIÓN</t>
  </si>
  <si>
    <t>TOTAL</t>
  </si>
  <si>
    <t>PROBABILIDAD RESIDUAL</t>
  </si>
  <si>
    <t>IMPACTO RESIDUAL</t>
  </si>
  <si>
    <t>ZONA DE RIESGO RESIDUAL</t>
  </si>
  <si>
    <t>ACCIONES ASOCIADAS AL CONTROL</t>
  </si>
  <si>
    <t>MONITOREO Y REVISIÓN</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</si>
  <si>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</si>
  <si>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</si>
  <si>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</si>
  <si>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</si>
  <si>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</si>
  <si>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</si>
  <si>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</si>
  <si>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RIESGO CONTROLADO</t>
  </si>
  <si>
    <t xml:space="preserve">PROBABILIDAD </t>
  </si>
  <si>
    <t>IMPACTO</t>
  </si>
  <si>
    <t>PERIODO DE EJECUCIÓN</t>
  </si>
  <si>
    <t>ACCIONES</t>
  </si>
  <si>
    <t>REGISTRO</t>
  </si>
  <si>
    <t>FECHA</t>
  </si>
  <si>
    <t>RESPONSABLES</t>
  </si>
  <si>
    <t>INDICADOR</t>
  </si>
  <si>
    <t>Hacer uso inadecuado de bases de datos a las cuales se tiene acceso, para obtener beneficio propio o de algún tercero</t>
  </si>
  <si>
    <t>Pérdida de bienes de uso público de la entidad</t>
  </si>
  <si>
    <t>Posible - 3</t>
  </si>
  <si>
    <t>Catastrófico - 20</t>
  </si>
  <si>
    <t xml:space="preserve">Preventivo </t>
  </si>
  <si>
    <t>Sí - 15</t>
  </si>
  <si>
    <t>Sí - 5</t>
  </si>
  <si>
    <t>No - 0</t>
  </si>
  <si>
    <t>Sí - 10</t>
  </si>
  <si>
    <t>Sí - 30</t>
  </si>
  <si>
    <t>Existencia de vacíos normativos que no permitan afrontar adecuadamente ciertos comportamientos y conductas que afectan los estándares de ética y buen gobierno en la gestión de la entidad.</t>
  </si>
  <si>
    <t>Daño patrimonial o moral</t>
  </si>
  <si>
    <t xml:space="preserve">Daño a la imagen pública de la institución </t>
  </si>
  <si>
    <t>Investigaciones sancionatorias, disciplinarias o fiscales</t>
  </si>
  <si>
    <t>Funcionarios ceden ante intereses externos de grupos de presión</t>
  </si>
  <si>
    <t>Ceder ante ofrecimientos de grupos de presión favoreciendo sus intereses y yendo en contra de los intereses de la entidad</t>
  </si>
  <si>
    <t>Compulsa de copias ante las autoridades competentes, tanto internas como externas, en lo disciplinario y en lo penal</t>
  </si>
  <si>
    <t>Correctivo</t>
  </si>
  <si>
    <t>Al presentarse una situación que implique una presunta violación de la ley penal</t>
  </si>
  <si>
    <t>Perjuicio económico o intangible</t>
  </si>
  <si>
    <t xml:space="preserve">Ingreso de personas no aptas para el cargo asignado, lo que se traduce en ineficiencia </t>
  </si>
  <si>
    <t>De acuerdo con cada área donde surge la necesidad que origina el proceso de contratación</t>
  </si>
  <si>
    <t>Desaparición de documentos relacionados con la gestión de la Universidad</t>
  </si>
  <si>
    <t>Falta de soportes en caso de una gestión incorrecta en la Universidad, que pueda traducirse en pérdida de bienes de uso público de la entidad, daño patrimonial o moral, perjuicio económico o intangible</t>
  </si>
  <si>
    <t xml:space="preserve">Llevar un registro de los documentos que ingresan a la Oficina Asesora Jurídica y de las personas a cargo </t>
  </si>
  <si>
    <t xml:space="preserve">Base de datos </t>
  </si>
  <si>
    <t>Sistema  correspondiente</t>
  </si>
  <si>
    <t>Carpeta contractual correspondiente</t>
  </si>
  <si>
    <t xml:space="preserve">Desarrollo de las actividades propias de la Oficina Asesora Jurídica, tales como responder tutelas, demandas y/o conceptos jurídicos, de forma imparcial, favoreciendo 
intereses de particulares o terceros </t>
  </si>
  <si>
    <t>Desarrollar actividades propias de la Oficina Asesora Jurídica, sacando provecho de las tareas designadas, para favorecer a terceros.</t>
  </si>
  <si>
    <t>Detrimento patrimonial</t>
  </si>
  <si>
    <t>Segumiento de los proyectos y/o actividades</t>
  </si>
  <si>
    <t>Filtros en contratación</t>
  </si>
  <si>
    <t xml:space="preserve">Seguimiento de las funciones </t>
  </si>
  <si>
    <t>Seguridad de la información</t>
  </si>
  <si>
    <t>Delegar una persona que se encargue de dichos temas</t>
  </si>
  <si>
    <t>Filtros de revisión</t>
  </si>
  <si>
    <t>Confidencialidad en el equipo de trabajo</t>
  </si>
  <si>
    <t>Detectivo</t>
  </si>
  <si>
    <t>Inadecuada toma de decisiones</t>
  </si>
  <si>
    <t>Priorización inadecuada o limitada de las actividades.</t>
  </si>
  <si>
    <t>Probable - 4</t>
  </si>
  <si>
    <t>Mayor - 10</t>
  </si>
  <si>
    <t xml:space="preserve">Desconocimiento de las políticas de comunicación interna por parte de los funcionarios. </t>
  </si>
  <si>
    <t>Estrategias inadecuadas para el desarrollo y progreso del Instituto.</t>
  </si>
  <si>
    <t>Políticas deficientes o inexistentes para el manejo, control y seguridad de información.</t>
  </si>
  <si>
    <t>Falta de coherencia de las decisiones con la función del Instituto.</t>
  </si>
  <si>
    <t>Conductas inapropiadas de los funcionarios.</t>
  </si>
  <si>
    <t>Derroche y/o desaprovechamiento de los recursos e insumos.</t>
  </si>
  <si>
    <t>Extralimitación de las funciones.</t>
  </si>
  <si>
    <t>Deterioro de la imagen del Instituto.</t>
  </si>
  <si>
    <t xml:space="preserve">Debilidad en la definición de los requisitos habilitantes y factores de ponderación para la contratación. </t>
  </si>
  <si>
    <t>Manipulación en la vinculación del personal y tráfico de influencias</t>
  </si>
  <si>
    <t>Incumplimiento de funciones por parte del personal inexperto.</t>
  </si>
  <si>
    <t>Moderado - 5</t>
  </si>
  <si>
    <t>Desaprovechamiento de recursos y talento.</t>
  </si>
  <si>
    <t xml:space="preserve">Falta de rigurosidad en la aplicación de pruebas de selección. </t>
  </si>
  <si>
    <t>Incumplimiento de proyectos y actividades realizadas por el Instituto.</t>
  </si>
  <si>
    <t xml:space="preserve">Interpretación errada de las normas. </t>
  </si>
  <si>
    <t xml:space="preserve">Presentación de documentos falsos, con información falsa o incompleta. </t>
  </si>
  <si>
    <t>No crear los escenarios y mecanismos pertinentes de control financiero.</t>
  </si>
  <si>
    <t xml:space="preserve">Pérdida de información y/o manipulación financiera </t>
  </si>
  <si>
    <t>El riesgo consiste en la pérdida de información financiera del Instituto, teniendo en cuenta su respectiva manipulación y/o desviación.</t>
  </si>
  <si>
    <t>Incumplimiento de la ley</t>
  </si>
  <si>
    <t xml:space="preserve">Falta de registros y documentación pertinente. </t>
  </si>
  <si>
    <t>Multas y/o sanciones</t>
  </si>
  <si>
    <t xml:space="preserve">Desconocimiento de directrices financieras para el adecuado manejo del presupuesto. </t>
  </si>
  <si>
    <t>Investigaciones</t>
  </si>
  <si>
    <t>Desconocimiento de roles y responsabilidades frente a divulgación de la información.</t>
  </si>
  <si>
    <t>Manejo indebido de información del Instituto a partes interesadas</t>
  </si>
  <si>
    <t>El riesgo consiste en la pérdida y/o manejo inadecuado de la información del Instituto.</t>
  </si>
  <si>
    <t>Incumplimiento de las funciones misionales del Instituto.</t>
  </si>
  <si>
    <t xml:space="preserve">Estrategias erróneas de divulgación de la información del Instituto. </t>
  </si>
  <si>
    <t>Entrega incompleta y/o extemporánea de la información.</t>
  </si>
  <si>
    <t>Extensión y Proyección Social</t>
  </si>
  <si>
    <t>Desconocimiento por parte de las entidades de los criterios de evaluación de las propuestas.</t>
  </si>
  <si>
    <t>Demandas.</t>
  </si>
  <si>
    <t>Improbable - 2</t>
  </si>
  <si>
    <t>Informalidad en el manejo y administración de la información.</t>
  </si>
  <si>
    <t>Reprocesos.</t>
  </si>
  <si>
    <t>Revisar y actualizar los procedimientos de manejo de la información pertinente para la toma de decisiones en la etapa de evaluación y adjudicación.</t>
  </si>
  <si>
    <t>Inconvenientes en la revisión o revisión no diligente de los documentos de la propuesta.</t>
  </si>
  <si>
    <t>Problemas de ejecución presupuestal.</t>
  </si>
  <si>
    <t>Análisis óptimo de las condiciones de evaluación y selección por parte del comité de evaluación y el comité asesor de contratación.</t>
  </si>
  <si>
    <t>Falta de definición de metodologías del equipo evaluador.</t>
  </si>
  <si>
    <t>Sanciones.</t>
  </si>
  <si>
    <t>Incumplimiento del acuerdo por el cual se adoptan las Políticas de Transparencia y Anticorrupción</t>
  </si>
  <si>
    <t>Este riesgo se refiere a que no se cumpla lo estipulado en los artículos del Capítulo II “De la Contratación” del Acuerdo 002 del Consejo Superior Universitario, “por medio del cual se adoptan las Políticas de Transparencia y Anticorrupción en la Universidad Distrital Francisco José de Caldas."</t>
  </si>
  <si>
    <t>Revisión de la normatividad aplicable interna por parte de los órganos responsables de su ejecución y aprobación.</t>
  </si>
  <si>
    <t>Mala imagen a las partes interesadas.</t>
  </si>
  <si>
    <t>Gestión de los Sistemas de Información y las Telecomunicaciones</t>
  </si>
  <si>
    <t>Manipulación de la información  de una actividad o proceso específico por parte de única persona con intereses particulares</t>
  </si>
  <si>
    <t xml:space="preserve">Acto mediante el cual una funcionario, estudiante, docente o alguna persona externa utilice la informacion procedimental con intereses particulares o para obtener algun beneficio </t>
  </si>
  <si>
    <t>Backups de personas (Directriz verbal)</t>
  </si>
  <si>
    <t>Documentación de las actividades</t>
  </si>
  <si>
    <t xml:space="preserve">Proyección Politicas de Seguridad de la Información </t>
  </si>
  <si>
    <t>Aplicación de pruebas de vulnerabilidad</t>
  </si>
  <si>
    <t xml:space="preserve">Adulteración de información </t>
  </si>
  <si>
    <t>No divulgación de información a la ciudadanía considerada como pública</t>
  </si>
  <si>
    <t>Omisión o falta de conocimiento de la información que debe ser publicada para toda la comunidad universitaria o algún ente en especifico.</t>
  </si>
  <si>
    <t xml:space="preserve">Asegurar la automatización de publicación con base en la normativa de transparencia y acceso a la información </t>
  </si>
  <si>
    <t>Uso de fuentes de información oficiales y confiables</t>
  </si>
  <si>
    <t>Manejo e implementación de arquitectura en Bodega de Datos</t>
  </si>
  <si>
    <t>Soborno para realizar procesos, trámites u obtener información confidencial</t>
  </si>
  <si>
    <t>Acción mediante la cual los funcionarios reciben dinero o algun otro beneficios con el fin de realizar una actividad especifica para su beneficio propio.</t>
  </si>
  <si>
    <t>Indicadores de Gestión</t>
  </si>
  <si>
    <t>Acceso restringido y/o controlado a BBDD</t>
  </si>
  <si>
    <t>Retrasos en las actividades</t>
  </si>
  <si>
    <t>Perdida y/o robo de elementos de infraestructura tecnologica</t>
  </si>
  <si>
    <t>Falta de directrices y controles que restrinjan el acceso a las personas a áreas donde los elementos tecnologicos pueden ser sustraidos</t>
  </si>
  <si>
    <t>Identificación para inventario y control de elementos</t>
  </si>
  <si>
    <t>Herramientas de seguridad de física para cada equipo</t>
  </si>
  <si>
    <t>Daños especificos en la infraestructura</t>
  </si>
  <si>
    <t>Acceso biométrico para áreas restringidas y de mayor vulnerabilidad</t>
  </si>
  <si>
    <t>Política específica de acceso a servidores- solo personal autorizado</t>
  </si>
  <si>
    <t>Alterar la información de un trámite a cambio de pagos o algún tipo de beneficio propio o a terceros</t>
  </si>
  <si>
    <t>Detrimento del patrimonio económico de la institución</t>
  </si>
  <si>
    <t>Rara vez - 1</t>
  </si>
  <si>
    <t xml:space="preserve">Fortalecimiento de la capacidad del sistema de información para detectar fraudes e inconsistencias </t>
  </si>
  <si>
    <t>Pérdida de documentos, bienes y/o información</t>
  </si>
  <si>
    <t xml:space="preserve">Extraviar o destruir premeditadamente documentos, bienes y/o información </t>
  </si>
  <si>
    <t>Regular el acceso a la documentación, bienes o información, utilizando registros de ingreso a los archivos</t>
  </si>
  <si>
    <t>Investigar exhaustivamente los casos de pérdida de documentación, bienes o información aplicando medidas disciplinarias</t>
  </si>
  <si>
    <t>Daño a la imagen pública de la institución</t>
  </si>
  <si>
    <t>Desviar fondos o cualquier patrimonio de la Universidad</t>
  </si>
  <si>
    <t>Desviar o manipular fondos y/o patrimonio de la Universidad en beneficio propio o de terceros</t>
  </si>
  <si>
    <t>Vigilar el flujo de fondos desde el proceso interno hasta los destinatarios</t>
  </si>
  <si>
    <t>Alteración de los estados financieros</t>
  </si>
  <si>
    <t>Modificar o alterar a conveniencia los resultados de los estados financieros</t>
  </si>
  <si>
    <t>Verificación de información a  partir de evidencias</t>
  </si>
  <si>
    <t>Generación de hallazgos por parte de los entes de control extenos</t>
  </si>
  <si>
    <t>Interinstitucionalización e Internacionalización</t>
  </si>
  <si>
    <t xml:space="preserve">Favorecimiento en el apoyo de movilidad académica de estudiantes y/o docentes </t>
  </si>
  <si>
    <t xml:space="preserve">Pérdida de imagen y credibilidad institucional </t>
  </si>
  <si>
    <t>Ejercer medidas correctivas de sanción sobre los funcionarios que favorezcan el apoyo de movilidad académica</t>
  </si>
  <si>
    <t xml:space="preserve">Alteración o manipulación de información </t>
  </si>
  <si>
    <t>Falta de identificación de recursos por parte de las Facultades.</t>
  </si>
  <si>
    <t xml:space="preserve">Demandas en contra de la Universidad Distrital </t>
  </si>
  <si>
    <t xml:space="preserve">Sensibilizar a los funcionarios acerca del riesgos de corrupción que se podría materializar </t>
  </si>
  <si>
    <t>Falta de centralización de la Internacionalización e Interinstitucionalización.</t>
  </si>
  <si>
    <t xml:space="preserve">Evaluación objetiva del beneficio de movilidad académica que se brinda en la Universidad Distrital </t>
  </si>
  <si>
    <t>Falencias en la consecución de resultados por intereses particulares y la falta de compromiso</t>
  </si>
  <si>
    <t>Insatisfacción de los usuarios</t>
  </si>
  <si>
    <t>Dificultad en la toma de decisiones.</t>
  </si>
  <si>
    <t>Reprocesos</t>
  </si>
  <si>
    <t>Control Disciplinario</t>
  </si>
  <si>
    <t>Afectación de la imagen institucional</t>
  </si>
  <si>
    <t>Casi seguro - 5</t>
  </si>
  <si>
    <t>Mediante oficio</t>
  </si>
  <si>
    <t>Jefe Oficina Asesora de Asuntos Disciplinarios</t>
  </si>
  <si>
    <t>Número de quejas a docentes de planta/ Número de quejas a servidores públicos de la Universidad.</t>
  </si>
  <si>
    <t>Gestión de Infraestructura Física</t>
  </si>
  <si>
    <t>Control en el manejo de la información, evitando la dispersión de la misma</t>
  </si>
  <si>
    <t>Según se requiera</t>
  </si>
  <si>
    <t>Actas y controles de asistencia</t>
  </si>
  <si>
    <t>Fecha de revisiòn</t>
  </si>
  <si>
    <t>Directivas de la Universidad</t>
  </si>
  <si>
    <t>N/A</t>
  </si>
  <si>
    <t>Generar clima y cultura organizacional adecuado que genere sentido de pertenencia por la Universidad</t>
  </si>
  <si>
    <t>Procesos de selección poco objetivos o direccionados</t>
  </si>
  <si>
    <t>Veedurías ciudadanas</t>
  </si>
  <si>
    <t>Acompañamiento de entes de control</t>
  </si>
  <si>
    <t>Aprovechamiento indebido de los recursos de la Universidad</t>
  </si>
  <si>
    <t>Inapropiado uso de los recursos tangibles e intangibles de la Universidad</t>
  </si>
  <si>
    <t>Formatos de seguimiento a materiales y ejecución de obras</t>
  </si>
  <si>
    <t>Formatos de seguimiento</t>
  </si>
  <si>
    <t>Cada vez que se realice</t>
  </si>
  <si>
    <t>División de Recursos Físicos</t>
  </si>
  <si>
    <t>Detrimiento de los recursos de la Universidad</t>
  </si>
  <si>
    <t>Semestral</t>
  </si>
  <si>
    <t>Informe final</t>
  </si>
  <si>
    <t>Según cronograma</t>
  </si>
  <si>
    <t>Comunidad Universitaria</t>
  </si>
  <si>
    <t>Reportes de la compañía aseguradora de la Universidad</t>
  </si>
  <si>
    <t>Reportes</t>
  </si>
  <si>
    <t>Procesos disicplinarios, fiscales y penales.</t>
  </si>
  <si>
    <t>Gestión de Laboratorios</t>
  </si>
  <si>
    <t>Diario</t>
  </si>
  <si>
    <t>Investigaciones disciplinarias</t>
  </si>
  <si>
    <t xml:space="preserve">Quejas y reclamos por la comunidad   </t>
  </si>
  <si>
    <t xml:space="preserve">Control mediante inventarios periódicos </t>
  </si>
  <si>
    <t xml:space="preserve">Detrimento patrimonial </t>
  </si>
  <si>
    <t xml:space="preserve">Sanciones </t>
  </si>
  <si>
    <t>No estandarización de costos para las actividades de extensión.</t>
  </si>
  <si>
    <t>Control interno de las actividades de extensión.</t>
  </si>
  <si>
    <t>Gestión de Docencia</t>
  </si>
  <si>
    <t xml:space="preserve">Omisión de los requisitos legales para el nombramiento o contratación de la persona. </t>
  </si>
  <si>
    <t>Falta de garantías para la igualdad de condiciones a los inscritos.</t>
  </si>
  <si>
    <t>Verificación y aprobación de perfiles antes de la publicación.</t>
  </si>
  <si>
    <t xml:space="preserve">Uso de la información institucional para beneficios personales. </t>
  </si>
  <si>
    <t>Concentración de autoridad o abuso de poder.</t>
  </si>
  <si>
    <t>Favorecimiento personal o de un tercero (clientelismo).</t>
  </si>
  <si>
    <t>Demanda a la institución, procesos disciplinarios y jurídicos.</t>
  </si>
  <si>
    <t>Criterios de selección y contratación sin controles pertinentes.</t>
  </si>
  <si>
    <t>Falta de ética de los funcionarios y aspirantes.</t>
  </si>
  <si>
    <t xml:space="preserve">Ejecución de gastos no autorizados, autorización de compras innecesarias.  </t>
  </si>
  <si>
    <t xml:space="preserve">Despilfarro de recursos públicos </t>
  </si>
  <si>
    <t>Desfinanciamiento de algunas actividades.</t>
  </si>
  <si>
    <t>Verificación de la coherencia entre los objetos y rubros afectados por parte de dependencias competentes (Presupuesto, recursos humanos, jurídica, oficina de docencia, decanaturas, entre otras).</t>
  </si>
  <si>
    <t xml:space="preserve">
Sobrecostos en la adquisición de los bienes y servicios.</t>
  </si>
  <si>
    <t>Acciones legales.</t>
  </si>
  <si>
    <t>Seguimiento a los planes de acción (en cuanto a qué se programa y qué se ejecuta).</t>
  </si>
  <si>
    <t>Inclusión de gastos no autorizados.</t>
  </si>
  <si>
    <t>Desfavorecimiento de la imagen institucional.</t>
  </si>
  <si>
    <t>Decanatura revisa las solicitudes presupuestales de los proyectos curriculares y demás unidades académicas.</t>
  </si>
  <si>
    <t>Afectar rubros que no corresponden con el objeto del gasto.</t>
  </si>
  <si>
    <t xml:space="preserve">
Perdida de la percepción de transparencia.</t>
  </si>
  <si>
    <t>Auditorías internas y externas.</t>
  </si>
  <si>
    <t xml:space="preserve">Disminución de la calidad por  uso incorrecto de recursos públicos. </t>
  </si>
  <si>
    <t>Afectar los rubros en la adquisición de bienes y servicios innecesarios o no priorizados.</t>
  </si>
  <si>
    <t>Detrimento patrimonial.</t>
  </si>
  <si>
    <t xml:space="preserve">Desconocimiento de la reglamentación institucional. </t>
  </si>
  <si>
    <t>Incumplimiento de los reglamentos y normatividad interna</t>
  </si>
  <si>
    <t>Desobediencia de los reglamentos y normatividad establecida por la Universidad por abstención, omisión, infracción o violación.</t>
  </si>
  <si>
    <t xml:space="preserve">Socialización de la norma a través de correo electrónico </t>
  </si>
  <si>
    <t xml:space="preserve">
Extralimitación de las funciones. </t>
  </si>
  <si>
    <t xml:space="preserve">Auditorías internas </t>
  </si>
  <si>
    <t xml:space="preserve">
Abuso de poder.</t>
  </si>
  <si>
    <t>Asignación de responsabilidades a quien no corresponde y descarga de las mismas a quienes deberían ejecutarlas.</t>
  </si>
  <si>
    <t>Supervisión de funciones a través de quejas y reclamos</t>
  </si>
  <si>
    <t>Desorden administrativo.</t>
  </si>
  <si>
    <t>Supervisión de los jefes inmediatos</t>
  </si>
  <si>
    <t>Desagregación de funciones y definición de los niveles de autoridad.</t>
  </si>
  <si>
    <t xml:space="preserve">Búsqueda de beneficios de diferente índole, a cambio de modificar las calificaciones de los estudiantes. </t>
  </si>
  <si>
    <t>Tráfico de notas</t>
  </si>
  <si>
    <t>Recibir dadivas para la modificación de la información contenida en la plataforma institucional (notas) y/o de las certificaciones de los estudiantes favoreciendo a particulares.</t>
  </si>
  <si>
    <t xml:space="preserve">Procesos disciplinarios. </t>
  </si>
  <si>
    <t>Trazabilidad del uso del aplicativo (sistema de gestión académica)</t>
  </si>
  <si>
    <t>Sistemas de información susceptibles de manipulación o adulteración.</t>
  </si>
  <si>
    <t>Expulsión del infractor.</t>
  </si>
  <si>
    <t>Planillas de calificaciones</t>
  </si>
  <si>
    <t xml:space="preserve">
Abuso de poder.  </t>
  </si>
  <si>
    <t xml:space="preserve">Demandas y procesos penales. </t>
  </si>
  <si>
    <t>Actas de modificación de notas y soportes</t>
  </si>
  <si>
    <t xml:space="preserve">
Favorecimiento personal o de un tercero (clientelismo).</t>
  </si>
  <si>
    <t>Afectación de imagen y credibilidad institucional.</t>
  </si>
  <si>
    <t>Segunda revisión de exámenes, trabajos y demás documentos presentados por los estudiantes</t>
  </si>
  <si>
    <t>Disminución de la calidad de la Universidad y sus egresados.</t>
  </si>
  <si>
    <t xml:space="preserve">Pérdida, hurto o perjuicios a los recursos educativos. </t>
  </si>
  <si>
    <t xml:space="preserve">Deterioro o desaparición de recursos necesarios para la adecuada prestación de los servicios educativos. </t>
  </si>
  <si>
    <t>Deterioro del patrimonio universitario.</t>
  </si>
  <si>
    <t>Refuerzo a la vigilancia (personal, cámaras, minutas, acceso a las instalaciones)</t>
  </si>
  <si>
    <t>Condiciones físicas inadecuadas de almacenamiento.</t>
  </si>
  <si>
    <t>Desmejoramiento de las condiciones educativas que repercuten en la calidad.</t>
  </si>
  <si>
    <t>Control y seguimiento al inventario de recursos</t>
  </si>
  <si>
    <t>Fallas en el sistema de seguridad.</t>
  </si>
  <si>
    <t>Identificación de las personas que ingresan a la Universidad</t>
  </si>
  <si>
    <t>Identificación de infractores y sanciones</t>
  </si>
  <si>
    <t>Acceso a personal ajeno a la comunidad universitaria.</t>
  </si>
  <si>
    <t>Registro para el acceso a los recursos</t>
  </si>
  <si>
    <t>Falta de políticas institucionales o la socialización de éstas para  la prevención, atención y sanción del hostigamiento.</t>
  </si>
  <si>
    <t>Acoso (psicológico, laboral, o sexual)</t>
  </si>
  <si>
    <t>Toda conducta persistente y demostrable, ejercida sobre un funcionario, un jefe o superior jerárquico, un compañero de trabajo o un subalterno o un estudiante, encaminada a infundir miedo, intimidación, terror y angustia, a causar perjuicio, generar desmotivación, o incluso la deserción de la institución.</t>
  </si>
  <si>
    <t>Procesos sancionatorios y disciplinarios.</t>
  </si>
  <si>
    <t>Normatividad aplicable a todas las tipologías de acoso a nivel interno y externo</t>
  </si>
  <si>
    <t>Abuso de poder.</t>
  </si>
  <si>
    <t>Seguimiento de instancias u organismos externos.</t>
  </si>
  <si>
    <t>Mecanismo de denuncia (protocolos definidos)</t>
  </si>
  <si>
    <t>Mal uso de los espacios físicos de la Universidad.</t>
  </si>
  <si>
    <t>Agresiones físicas o verbales.</t>
  </si>
  <si>
    <t>Discriminación.</t>
  </si>
  <si>
    <t>Perdida de imagen profesional e institucional.</t>
  </si>
  <si>
    <t>Intolerancia manifiesta entre los miembros de la comunidad.</t>
  </si>
  <si>
    <t>Limitantes al trato de las denuncias por acoso debido a las condiciones contractuales de los funcionarios de la Universidad.</t>
  </si>
  <si>
    <t>Sobornos o cualquier tipo de dadivas a los funcionarios por la aprobación de los proyectos de inversión.</t>
  </si>
  <si>
    <t>Obtención de beneficios por la aprobación de proyectos de inversión</t>
  </si>
  <si>
    <t>Ya que todos los proyectos de inversión que se presentan no obtienen la financiación, los funcionarios pueden buscar dicha financiación por otros medios que no se estipulan en el conducto regular</t>
  </si>
  <si>
    <t>Los proyectos de inversión que traen mayor beneficio a la comunidad académica pueden quedar sin financiación debido a que estos recursos se dirigieron a otros proyectos</t>
  </si>
  <si>
    <t>Auditorias</t>
  </si>
  <si>
    <t>Selección de personal</t>
  </si>
  <si>
    <t>Favorecimiento a algún grupo de interés.</t>
  </si>
  <si>
    <t>Manipulación a los estudios que se realizan en la OAPC</t>
  </si>
  <si>
    <t xml:space="preserve">Los estudios que se realizan en la OAPC son base técnica para proyectos que se harán dentro de la universidad y la manipulación de estos puede ser de beneficio para algunos grupos de interés </t>
  </si>
  <si>
    <t>Al manipular los estudios, no se refleja la realidad y esto puede acarrear serios problemas a la hora de la ejecución de un proyecto</t>
  </si>
  <si>
    <t>Servicio al Ciudadano</t>
  </si>
  <si>
    <t>Eliminación de registros que sustenten el trámite de peticiones para favorecimiento propio o de tercero</t>
  </si>
  <si>
    <t xml:space="preserve">Que algún funcionario elimine o sustraiga soportes de peticiones con el fin de demorar o dificultar su gestión, y de esta forma  favorecer a un tercero o a si mismo </t>
  </si>
  <si>
    <t>Incremento de presuntos actos de corrupción en la Universidad</t>
  </si>
  <si>
    <t xml:space="preserve">Registro y seguimiento de peticiones en el Sistema Distritral de Quejas y Soluciones </t>
  </si>
  <si>
    <t>Inconformidad general de la Ciudadanía</t>
  </si>
  <si>
    <t>Capacitaciones relacionadas con el trámite adecuado de peticiones</t>
  </si>
  <si>
    <t>Aumento en el tiempo de gestión de peticiones</t>
  </si>
  <si>
    <t>Divulgación del Código de ética y buen gobierno por parte del comité de ética de la Universidad</t>
  </si>
  <si>
    <t xml:space="preserve">Respuesta  inadecuada a peticiones </t>
  </si>
  <si>
    <t>Incumplimiento de funciones de la OQRAC</t>
  </si>
  <si>
    <t>Demora en el trámite de quejas o reclamos  con el propósito de obtener el vencimiento de términos o la prescripción del mismo, para favorecimiento propio o de terceros</t>
  </si>
  <si>
    <t>Que algún funcionario encargado de la recepción y trámite de peticiones reciba dinero o algún incentivo para obstaculizar la gestión correspondiente</t>
  </si>
  <si>
    <t>Acciones legales por parte de la ciudadania que desencadenen procesos disciplinarios para la Universidad.</t>
  </si>
  <si>
    <t xml:space="preserve">Seguimiento a peticiones </t>
  </si>
  <si>
    <t>Inconformidad general de la ciudadania</t>
  </si>
  <si>
    <t xml:space="preserve">Detrimento en la imagen institucional </t>
  </si>
  <si>
    <t>Cuidadosa distribución del trabajo a cargo de la Oficina y seguimiento a los resultados de las actividades realizadas por las personas vinculadas al equipo de la Oficina Asesora Jurídica</t>
  </si>
  <si>
    <r>
      <t>Mecanismos inadecuados para el correcto flujo de información, en los diferentes niveles del</t>
    </r>
    <r>
      <rPr>
        <sz val="11"/>
        <rFont val="Calibri"/>
        <family val="2"/>
      </rPr>
      <t xml:space="preserve"> Instituto.</t>
    </r>
    <r>
      <rPr>
        <sz val="11"/>
        <color theme="1"/>
        <rFont val="Calibri"/>
        <family val="2"/>
      </rPr>
      <t xml:space="preserve"> </t>
    </r>
  </si>
  <si>
    <r>
      <t xml:space="preserve">El riesgo consiste en la inadecuada toma de decisiones que vayan en contravía de los intereses y de las  funciones del </t>
    </r>
    <r>
      <rPr>
        <sz val="11"/>
        <rFont val="Calibri"/>
        <family val="2"/>
      </rPr>
      <t>Instituto.</t>
    </r>
  </si>
  <si>
    <r>
      <t xml:space="preserve">Deterioro de la imagen del </t>
    </r>
    <r>
      <rPr>
        <sz val="11"/>
        <rFont val="Calibri"/>
        <family val="2"/>
      </rPr>
      <t>Instituto.</t>
    </r>
  </si>
  <si>
    <t>Este riesgo se refiere a que en la etapa precontractual de adjudicación o declaratoria desierta se presente la posibilidad de incurrir en conflictos al no tener oferentes que cumplan con los requerimientos propuestos o por no adjudicar los Contratos debido a falencias en la evaluación y comunicación.</t>
  </si>
  <si>
    <t>Capacitar o aplicar mecanismos de socialización al personal que participa en las etapas de los Procesos para la Contratación sobre la normatividad aplicable interna y externa.</t>
  </si>
  <si>
    <t>Sistemas de Información susceptibles de manipulación o adulteración o pérdida de información</t>
  </si>
  <si>
    <t>Log(archivos automáticos de control) de acceso a Sistemas de Información</t>
  </si>
  <si>
    <t>Activar módulo de Auditoría de acuerdo al tipo de Sistema</t>
  </si>
  <si>
    <t>Modificar parcial o totalmente información o Procedimientos a cambio de pagos o beneficio propio o a algún tercero</t>
  </si>
  <si>
    <t>Mejorar los mecanismos de vigilancia a los funcionarios en los Procedimientos y dentro del Sistema de Información</t>
  </si>
  <si>
    <t>Realizar Auditorías periódicas para revisar el estado del patrimonio económico de la Universidad</t>
  </si>
  <si>
    <t>Vigilar el Procedimiento de registro contable, el cuadre general y entre las Secciones</t>
  </si>
  <si>
    <t xml:space="preserve">Hurto, robo o pérdida de equipos, materiales e insumos de Laboratorios. </t>
  </si>
  <si>
    <t>Impedimento para desarrollar las prácticas de Laboratorios</t>
  </si>
  <si>
    <r>
      <t xml:space="preserve">Estandarización de costos de los servicios de </t>
    </r>
    <r>
      <rPr>
        <sz val="11"/>
        <color rgb="FFFF0000"/>
        <rFont val="Calibri"/>
        <family val="2"/>
        <scheme val="minor"/>
      </rPr>
      <t>L</t>
    </r>
    <r>
      <rPr>
        <sz val="11"/>
        <rFont val="Calibri"/>
        <family val="2"/>
        <scheme val="minor"/>
      </rPr>
      <t xml:space="preserve">aboratorios </t>
    </r>
  </si>
  <si>
    <t>Incumplimiento de los Procedimientos de la
Contratación y fraude en Convocatoria y Selección
de Docentes</t>
  </si>
  <si>
    <t xml:space="preserve">Procesos de Selección y Contratación de Docentes manipulados por el clientelismo, amiguismo y concentración de poder sin garantizar igualdad de condiciones a los inscritos.
</t>
  </si>
  <si>
    <t>Revisión de los resultados de las convocatorias por parte de la Decanatura (contraste entre el Docente seleccionado y el perfil aprobado).</t>
  </si>
  <si>
    <t>Utilización de recursos económicos de forma incorrecta de tal manera que no cumpla con la prestación de los servicios establecidos en el Proceso de Gestión de Docencia.</t>
  </si>
  <si>
    <t>Desactualización del Sistema de Información referente a normativa de la Universidad y deficiencias en su diseño.</t>
  </si>
  <si>
    <t>Inoperancia en la ejecución de los Procesos.</t>
  </si>
  <si>
    <t>Deficientes controles en el Proceso.</t>
  </si>
  <si>
    <t>Falta de sentido de pertenencia y ética de funcionarios y usuarios</t>
  </si>
  <si>
    <t>Mala imagen de la Universidad.</t>
  </si>
  <si>
    <t>Una vez, con el Acta de Inicio de contrato</t>
  </si>
  <si>
    <t>Creación de usuarios y entrega de contraseñas para acceso a Sistemas de Información a determinadas personas, bajo control y seguimiento del jefe de la oficina, y bajo total responsabilidad de las personas que lo reciben.</t>
  </si>
  <si>
    <t>Oficina Asesora de Sistemas crea el usuario y al término del Contrato lo desactiva</t>
  </si>
  <si>
    <t>En la Secretaría de la Oficina Asesora Jurídica se guarda copia de la correspondiente denuncia con sus soportes</t>
  </si>
  <si>
    <t>Denuncias disciplinarias y penales que entidades y personas ajenas a la Universidad interponen contra personas al servicio de ésta.</t>
  </si>
  <si>
    <t>Cada vez que se genera la necesidad que amerite adelantar un Proceso de Contratación</t>
  </si>
  <si>
    <t>Cada vez que se adelanta un Proceso de Contratación mediante modalidad de Prestación de Servicios profesionales y de apoyo a la gestión</t>
  </si>
  <si>
    <t>De acuerdo con cada área donde surge la necesidad que origina el Proceso de Contratación</t>
  </si>
  <si>
    <t>Cada vez que exista un Contrato o un Proceso</t>
  </si>
  <si>
    <t>Cada vez que se contrata personal al servicio de la Oficina</t>
  </si>
  <si>
    <t>Con el Acta de Inicio del Contrato de la persona a cargo del archivo</t>
  </si>
  <si>
    <t>Sistemas Informáticos en los cuales se registran los requerimientos que ingresan a la Oficina Asesora Jurídica, las personas a su cargo, el trámite impartido a los mismos y su solución</t>
  </si>
  <si>
    <t>Régimen de inhabilidades incompatibilidades y conflictos de interés establecidos en la ley y en las normas internas de la Universidad Distrital</t>
  </si>
  <si>
    <t>Uso indebido de las modalidades de Contratación Directa e Indirecta.</t>
  </si>
  <si>
    <t>Desconocimiento del Procedimiento de Contratación y/o negligencia del personal encargado.</t>
  </si>
  <si>
    <t>El riesgo consiste en la contratación y vinculación inadecuada de personal al Instituto.</t>
  </si>
  <si>
    <t>Cumplir con la normatividad vigente y con énfasis en el principio de selección objetiva. Culminar la etapa de selección mediante una comunicación o Acto Administrativo por parte del representante legal.</t>
  </si>
  <si>
    <t>Cumplimiento del Plan de Acción mensual, trimestral y anual</t>
  </si>
  <si>
    <t>Plan de Acción mensual, trimestral y anual</t>
  </si>
  <si>
    <t>Toma de decisiones y aprobación en el Comité Directivo del Instituto</t>
  </si>
  <si>
    <t>Limitar al máximo el número de personas que participan en el diseño y ejecución de los Procesos Contractuales</t>
  </si>
  <si>
    <t>Generación de reportes periódicos tanto internos como externos a las dependencias y personas que administran los Sistemas de Información y las bases de datos.</t>
  </si>
  <si>
    <t>Desconocimiento de la normatividad interna por parte de quienes participan en los Procesos de Contratación.</t>
  </si>
  <si>
    <t>Desconocimiento de los Procesos y Procedimientos adoptados por la Universidad.</t>
  </si>
  <si>
    <t>Situaciones subjetivas del empleado que interviene en el Procedimiento que le permiten incumplir los marcos legales y éticos.</t>
  </si>
  <si>
    <t>Funcionarios influencian los Procesos de Selección Contractual en beneficio particular o de terceros</t>
  </si>
  <si>
    <t>Influenciar Procesos de Selección dando privilegios no meritorios a particulares o terceros</t>
  </si>
  <si>
    <t>Desaparecer documentos relacionados con la gestión de la Universidad dada su facilidad de acceder a éstos, con el propósito de favorecer intereses propios o de terceros</t>
  </si>
  <si>
    <t>Adulteración por parte de terceros o de funcionarios de los Sistemas de Informacón con el fin de obtener o borrar informacion mediante actividades ilicitas.</t>
  </si>
  <si>
    <t>Manipulación o alteracion de la información requerida para elaboracion de documentos relacionados con los Procedimientos del Proceso</t>
  </si>
  <si>
    <t>Manipulación o alteracion de la información requerida para elaboracion de documentos relacionados con los Procedimientos de Autoevaluación para Proyectos Curriculares o Institucional,</t>
  </si>
  <si>
    <t>Favorecimiento tanto en los Actos Administrativos como en el apoyo económico en beneficio de la movilidad de estudiantes y/o docentes para beneficios particulares</t>
  </si>
  <si>
    <t>Falta de disponibilidad y de unión entre las Coordinaciones de los diferentes Subsistemas que maneja la Universidad debido intereses particulares de poder,  lo que genera  trámites muy extensos, falta de personal idóneo y demoras generadas por conflictos internos que generan que el cumplimiento de las actividades por Procesos de la Universidad se retrase o no se realice.</t>
  </si>
  <si>
    <t>Proceso Disciplinario contra Docentes de planta realizado por personas sin los conocimientos académicos requeridos para ejercer estas actvidades</t>
  </si>
  <si>
    <t>El Proceso Disciplinario contra Docentes de planta es realizado por Docentes que no tienen los conocimientos académicos pertinentes (Abogados)  para realizar esta actividad</t>
  </si>
  <si>
    <t>Filtración de información confidencial o importante en el Proceso</t>
  </si>
  <si>
    <t>Filtración de información a personas externas al Proceso (trabajadores o terceros), para el manejo inadecuado de ésta, obteniendo beneficios diferentes a la Comunidad Universitaria</t>
  </si>
  <si>
    <t xml:space="preserve">Cobro indebido no reportado a la Universidad por los servicios prestados en los Laboratorios. </t>
  </si>
  <si>
    <t xml:space="preserve">Usar indebidamente los recursos de Laboratorios para beneficio propio o de terceros. </t>
  </si>
  <si>
    <t>Pérdida de la información</t>
  </si>
  <si>
    <t>Pérdida del buen nombre</t>
  </si>
  <si>
    <t>Pérdidas económicas</t>
  </si>
  <si>
    <t>Pérdida de credibilidad</t>
  </si>
  <si>
    <t>Daño de los Sistemas de Información</t>
  </si>
  <si>
    <t>Pérdida de información</t>
  </si>
  <si>
    <t>Perdidas económicas</t>
  </si>
  <si>
    <t>Detrimento del bien público</t>
  </si>
  <si>
    <t xml:space="preserve">Informes de Autoevaluación imprecisos a la realidad del Proyecto Curricular  </t>
  </si>
  <si>
    <t>Informes de Autoevaluación imprecisos a la realidad de la Institución</t>
  </si>
  <si>
    <t>Pérdida de buena imagen institucional</t>
  </si>
  <si>
    <t xml:space="preserve">Ejecución de Actos Administrativos fraudulentos que perjudican la transparencia del Proceso de Interinstitucionalización e Internacionalización </t>
  </si>
  <si>
    <t>Pérdida de recursos</t>
  </si>
  <si>
    <t xml:space="preserve">Pérdida de credibilidad </t>
  </si>
  <si>
    <t>Reiteración de faltas disciplinarias por parte de los Docentes de planta  de la Universidad</t>
  </si>
  <si>
    <t>Impunidad en las faltas disciplinarias de los Docentes de planta de la Universidad.</t>
  </si>
  <si>
    <t>Daños y perjuicios a terceros que le pueden  llevar a afrontar indemnizaciones demandas y denuncias a la Universidad.</t>
  </si>
  <si>
    <t>Pérdida de información confidencial para el desarrollo del Proceso</t>
  </si>
  <si>
    <t>Daño o pérdida de bienes de la Universidad</t>
  </si>
  <si>
    <t>Pérdida de elementos o bienes de la Universidad</t>
  </si>
  <si>
    <t>Afecta la calidad académica de la Universidad debido a que el Docente seleccionado no cumple el perfil requerido.</t>
  </si>
  <si>
    <t>Contratación de un  Proveedor para monitoreo de ataques</t>
  </si>
  <si>
    <t>Mayor sistematización de Procesos</t>
  </si>
  <si>
    <t>implementación de herramientas informaticas para  la evaluacion y seguimiento a los Planes de Mejoramiento de Proyectos Curriculares e Institucional</t>
  </si>
  <si>
    <t xml:space="preserve">Seguimiento periódico sobre la aplicaciones de movilidad académica que se realizan en el Proceso </t>
  </si>
  <si>
    <t xml:space="preserve">Realización de revisiones del SIGUD por la Alta Dirección </t>
  </si>
  <si>
    <t>Campañas de socialización y divulgación de las ventajas y funcionalidades del SIGUD</t>
  </si>
  <si>
    <t>Establecimiento del equipo de Promotores del SIGUD</t>
  </si>
  <si>
    <t>Suprimir la normatividad establecida por la Universidad en el Acuerdo 011. Noviembre 15 del 2002. Capitulo 2. Por el cual se expide el Estatuto del  Docente de Carrera de la Universidad Distrital Francisco José de Caldas</t>
  </si>
  <si>
    <t>Que la normatividad establecida por la Universidad en el Acuerdo 011. Noviembre 15 del 2002 sea declarada nula por un Juez de la República</t>
  </si>
  <si>
    <t>Auditorias Internas</t>
  </si>
  <si>
    <t xml:space="preserve">Control mediante Formato de Préstamos de Equipos </t>
  </si>
  <si>
    <t>Control mediante Formato de Reporte Deudor de Equipos, Materiales e Insumos en Práctica</t>
  </si>
  <si>
    <t>Control mediante Formato Solicitud Salida de Materiales y Equipos a espacios externos de la Facultad</t>
  </si>
  <si>
    <t>Acompañamiento del Asesor Jurídico.</t>
  </si>
  <si>
    <t>Verificación del cambio de la normatividad irregular que ha sido expedida por el Consejo Superior Universitario de la Universidad Distrital Francisco José de Caldas</t>
  </si>
  <si>
    <t>Funcionarios hacen uso inadecuado de bases de datos a las cuales tienen acceso</t>
  </si>
  <si>
    <t>Irregularidad en adjudicación o declaratoria desierta de un Proceso Contractual</t>
  </si>
  <si>
    <t>Pérdida de equipos, materiales o insumos  - Facultad de Medio ambiente</t>
  </si>
  <si>
    <t>Peculado - Facultad de Artes ASAB</t>
  </si>
  <si>
    <t>Gestionar los Sistemas de Información y las Telecomunicaciones para asegurar el acceso, adquisición, disponibilidad, confiabilidad, confidencialidad y seguridad de los activos de información a través de la infraestructura y las soluciones Informáticas en el marco de la normatividad vigente aplicable, como apoyo a los Procesos Misionales de la Universidad para satisfacer las necesidades de la comunidad universitaria.</t>
  </si>
  <si>
    <t>Realizar de manera sistemática y permanente un análisis valorativo y autónomo que permita verificar la calidad en la prestación de los servicios académicos y el grado de cumplimiento de los objetivos institucionales.</t>
  </si>
  <si>
    <t>Articular y fortalecer la Gestión de los subsistemas que integran el Sistema Integrado de Gestión, a través de un análisis sinérgico que permita establecer planes de Mejoramiento Continuo, contribuyendo al cumplimiento de los Objetivos Institucionales.</t>
  </si>
  <si>
    <t>Coordinar y orientar el diseño y la implementación de estrategias, políticas, programas y proyectos con el fin de dar cumplimiento a la misión, visión y objetivos institucionales.</t>
  </si>
  <si>
    <t>Garantizar el acceso a la información, la correcta y oportuna atención a la ciudadanía y grupos de interés, en temas relacionados con el funcionamiento y  cumplimiento de la misión de la Universidad, mediante  la adecuación e  implementación de canales de atención, la oportuna divulgación de información y el trámite oportuno de peticiones que interpongan los ciudadanos en el ejercicio de su función de  control social.</t>
  </si>
  <si>
    <t>Direccionar y Gestionar la Interinstitucionalización e Internacionalización de la Universidad Distrital Francisco José de Caldas para contribuir con la formación integral de profesionales e investigadores globalmente competitivos a través de acciones de direccionamiento estratégico para la inmersión y participación activa de la institución en la sociedad del conocimiento en el ámbito local, Nacional e Internacional.</t>
  </si>
  <si>
    <t xml:space="preserve">Tramitar de manera imparcial las quejas presentadas por la comunidad, ya sea interna o externa a la Universidad, en contra de los funcionarios públicos del Alma Mater, de forma ágil y oportuna, protegiendo los derechos y garantías constitucionales de los implicados, conforme al debido proceso. 
 </t>
  </si>
  <si>
    <t>Poco conocimiento y difusión del contenido y alcance del Código de Ética y Buen Gobierno de la entidad.</t>
  </si>
  <si>
    <t>Existencia de una Planta de Personal débil y de un elevado número de personas vinculadas de manera temporal que ocasiona falta de identidad institucional y poco compromiso con la gestión pública que desarrolla la Universidad.</t>
  </si>
  <si>
    <t>Presión de grupos de interés tanto económicos como políticos, entre otros.</t>
  </si>
  <si>
    <t>Baja efectividad en la respuesta institucional y de las directivas de la entidad ante la influencia negativa que el ambiente externo ejerce  en temas de ética y buen gobierno.</t>
  </si>
  <si>
    <t>La dificultad para desarrollar en normas concretas las políticas de transparencia en materia de manejo presupuestal en general y en particular en temas contractuales promulgadas por el CSU.</t>
  </si>
  <si>
    <t>Debilidad de la comunidad universitaria para enfrentar los desafíos que en materia de ética y buen gobierno plantea el entorno social, económico y político.</t>
  </si>
  <si>
    <t>Ausencia de Tablas de Retención Documental que imposibilitan hacer un control efectivo sobre la existencia y manejo de documentos vinculados a la gestión administrativa y académica de la Universidad.</t>
  </si>
  <si>
    <t>Falta de un espacio con mayor seguridad para el archivo de la documentación.</t>
  </si>
  <si>
    <t>No tener un organigrama definido actualizado que permita establecer las funciones .</t>
  </si>
  <si>
    <t>Falta de presupuesto para contratación.</t>
  </si>
  <si>
    <t>Falta de una directriz específica en la cual se indique que los procesos o actividades deben ser de conocimiento procedimental por mas de una persona.</t>
  </si>
  <si>
    <t>Falta de control a los Procedimientos realizados al interior de la Oficina.</t>
  </si>
  <si>
    <t>Falta de directricez y políticas por parte de la Alta Dirección.</t>
  </si>
  <si>
    <t>No tener políticas definidas de manejo de la información.</t>
  </si>
  <si>
    <t>No tener un control en los sistemas de Información que impidan el acceso no autorizado.</t>
  </si>
  <si>
    <t>No realizar pruebas de seguridad ante de salir a producción.</t>
  </si>
  <si>
    <t>Accesibilidad total a las bases de datos.</t>
  </si>
  <si>
    <t>Daño parcial o total de los datos.</t>
  </si>
  <si>
    <t>Ataques por hackers - virus informáticos.</t>
  </si>
  <si>
    <t>No tener conocimiento del Proceso de como se publica y que información puede ser publicada para conocimiento de la ciudadanía.</t>
  </si>
  <si>
    <t>No capacitar al personal que es dueño de la información sobre las políticas de divulgación.</t>
  </si>
  <si>
    <t xml:space="preserve">Falta de controles periódicos sobre los procesos. </t>
  </si>
  <si>
    <t>Falta de divulgación hacia la comunidad del Procedimiento para llevar a cabo el trámite.</t>
  </si>
  <si>
    <t xml:space="preserve">Falta de una política bien definida y socializada para realizar procesos sancionatorios en caso de que se materialice el riesgo. </t>
  </si>
  <si>
    <t>Falta de controles de seguridad fisica adecuados.</t>
  </si>
  <si>
    <t>Incumplimiento de los tramites establecidos para prestamos, manejo y mantenimiento de bienes de tecnología.</t>
  </si>
  <si>
    <t>Deficiencia en el monitoreo y seguimiento a las actividades de los funcionarios.</t>
  </si>
  <si>
    <t>Poca eficiencia del Sistema de Información para contrarrestar manipulaciones.</t>
  </si>
  <si>
    <t>Complicidad de personal interno con terceros para cometer fraude.</t>
  </si>
  <si>
    <t>Ineficientes medidas de seguridad para salvaguardar bienes, documentos e información.</t>
  </si>
  <si>
    <t>Acceso indiscriminado a los archivos y fuentes de información.</t>
  </si>
  <si>
    <t>Vulnerabilidad y deficiencia de la plataforma tecnológica y de su monitoreo.</t>
  </si>
  <si>
    <t>Complicidad de los funcionarios con terceros para cometer actos de corrupción.</t>
  </si>
  <si>
    <t>Extralimitación de funciones.</t>
  </si>
  <si>
    <t>Manipulación de los registros contables.</t>
  </si>
  <si>
    <t>Complicidad de los funcionarios para cometer fraude o corrupción.</t>
  </si>
  <si>
    <t>Saltos de conductos regulares definidos en los procedimientos para aprobación y revisión de documentos.</t>
  </si>
  <si>
    <t>Manejo de información  inapropiado por parte de funcionarios y/o contratistas.</t>
  </si>
  <si>
    <t>Desconocimiento de fuentes de información que permitan verificar información relacionada a los Procesos.</t>
  </si>
  <si>
    <t>Tipo de vinculación laboral de las personas que maneja la movilidad académica.</t>
  </si>
  <si>
    <t>Desarticulación institucional. Falta de respuesta por parte de las demás Unidades debido a: cierre fiscal, periodo de vacaciones.</t>
  </si>
  <si>
    <t>Decisiones ajustadas a intereses particulares.</t>
  </si>
  <si>
    <t>Utilizar indebidamente influencias para beneficios personales.</t>
  </si>
  <si>
    <t>Poca disponibilidad y disposición por parte de los Lideres y Gestores del Proceso para atender las reuniones del SIGUD.</t>
  </si>
  <si>
    <t>Lucha de poder a nivel de Coordinación de Subsistemas.</t>
  </si>
  <si>
    <t>Asumir ideologias personales que afectan y parcializan el compromiso, la gestión y participación en el desarrollo e implementación del Sistema Integrado de Gestión.</t>
  </si>
  <si>
    <t>Demoras en la delegación de personal y asignación de sus tareas con respecto a la gestión por Procesos.</t>
  </si>
  <si>
    <t>La normatividad irregular que ha sido expedida por el Consejo Superior Universitario de la Universidad Distrital Francisco José de Caldas.</t>
  </si>
  <si>
    <t>Dispersión en la información, por tanto menos control en el manejo de la misma.</t>
  </si>
  <si>
    <t>Falta de sentido de pertenencia y cultura organizacional por la Universidad.</t>
  </si>
  <si>
    <t>Intereses de terceros.</t>
  </si>
  <si>
    <t>Realización de actividades según propio criterio sin obedecer a unos planes y programas ya planteados por la dirección.</t>
  </si>
  <si>
    <t>Falta de seguimiento a las labores y tareas realizadas.</t>
  </si>
  <si>
    <t>Falta de planeación de los proyectos, planes y demás actividades a realizar en el Proceso.</t>
  </si>
  <si>
    <t>Inadecuado control de inventarios.</t>
  </si>
  <si>
    <t>Falta de vigilancia.</t>
  </si>
  <si>
    <t>Uso indebido de los recursos de Laboratorios para beneficio propio, favorecimiento a terceros o asuntos institucionales.</t>
  </si>
  <si>
    <t>Tráfico de influencias .</t>
  </si>
  <si>
    <t>Poca interrelación con los demás Procesos.</t>
  </si>
  <si>
    <t>Manejo inadecuado de registros.</t>
  </si>
  <si>
    <t>Imposibilidad de realizar seguimiento a todas las peticiones.</t>
  </si>
  <si>
    <t>Falta de mecanismos formales que garanticen la recepción y trámite de peticiones en la Universidad.</t>
  </si>
  <si>
    <t>Falta de seguimiento por parte de los jefes de dependencias u oficinas para el registro y trámite  oportuno de peticiones, y divulgación de trámites y servicios.</t>
  </si>
  <si>
    <t>Demoras en la respuesta de peticiones por parte de dependencias u oficinas.</t>
  </si>
  <si>
    <t>Falta de mecanismos formales que garanticen el registro y  trámite de peticiones en la Universidad.</t>
  </si>
  <si>
    <t>Falta de seguimiento por parte de los jefes de dependencias u oficinas para el trámite  oportuno de peticiones.</t>
  </si>
  <si>
    <t>Cobros indebidos  - Facultad de Medio Ambiente</t>
  </si>
  <si>
    <t>Compulsa de copias ante las autoridades competentes, tanto internas como externas, en lo disciplinario y en lo penal.</t>
  </si>
  <si>
    <t>Limitar al máximo el número de personas que participan en el diseño y ejecución de los procesos contractuales.</t>
  </si>
  <si>
    <t>Régimen de inhabilidades incompatibilidades y conflictos de interés establecidos en la ley y en las normas internas de la universidad distrital.</t>
  </si>
  <si>
    <t>Verificación de antecedentes de las personas que van a ser contratadas.</t>
  </si>
  <si>
    <t>Llevar un registro de los documentos que ingresan a la Oficina Asesora Jurídica y de las personas a cargo.</t>
  </si>
  <si>
    <t>Sistemas Informáticos en los cuales se registran los requerimientos que ingresan a la Oficina Asesora Jurídica, las personas a su cargo, el trámite impartido a los mismos y su solución.</t>
  </si>
  <si>
    <t>Asignación de personal exclusivo para el manejo de la documentación.</t>
  </si>
  <si>
    <t>Entrega de Inventario Físico de las Carpetas Contractuales y de los Procesos Judiciales.</t>
  </si>
  <si>
    <t>Generar recomendaciones a la Rectoria sobre la normatividad irregular que ha sido expedida por el Consejo Superior Universitario de la Universidad Distrital Francisco José de Caldas.</t>
  </si>
  <si>
    <t>Concentrar informaciòn en áreas específicas.</t>
  </si>
  <si>
    <t>Promover campañas anticorrupción.</t>
  </si>
  <si>
    <t>Realizar convocatorias.</t>
  </si>
  <si>
    <t>Trabajo junto al SIGUD.</t>
  </si>
  <si>
    <t>Establecer cronograma y objetivos por parte de la alta direccion.</t>
  </si>
  <si>
    <t>Establecer causas de afectación por indebida ejecución en obras y mantenimientos.</t>
  </si>
  <si>
    <t>Mayor control en entrada y salida de usuarios (vigilancia).</t>
  </si>
  <si>
    <t>Inversión en tecnología (cámaras).</t>
  </si>
  <si>
    <t>Debilidad en los mecanismos de control para la ejecución del presupuesto.</t>
  </si>
  <si>
    <t>Gestión Jurídica</t>
  </si>
  <si>
    <t>Gestión Contractual</t>
  </si>
  <si>
    <t>Gestión de Recursos Financieros</t>
  </si>
  <si>
    <t>Autoevaluación y Acreditación</t>
  </si>
  <si>
    <t>Gestión Integrada</t>
  </si>
  <si>
    <t>Planeación Estratégica e Institucional</t>
  </si>
  <si>
    <t>Ejecutar y desarrollar políticas, planes, programas y proyectos de carácter jurídico, armonizando los actos administrativos emanados por la Universidad con las leyes y la jurisprudencia vigente, llevando a cabo la representación legal, la defensa judicial, la asesoría en temas jurídicos y el apoyo a la gestión contractual, de la Universidad Distrital Francisco José de Caldas.</t>
  </si>
  <si>
    <t>Promover la Vinculación de la Universidad Distrital Francisco José de Caldas con su Entorno social, a través de la coordinación de los programas, planes y proyectos de Extensión y Proyección Social, en articulación a la Docencia y la Investigación.</t>
  </si>
  <si>
    <t>Gestionar de manera transparente y eficáz los recursos para la contratación de los bienes y/o servicios a través de los diferentes mecanismos de contratación necesarios para el cumplimiento de la misión y visión de la Universidad Distrital Francisco José de Caldas de acuerdo a los estándares y normatividad vigente.</t>
  </si>
  <si>
    <t>Administrar, gestionar, registrar y controlar los recursos financieros en la Universidad Distrital Francisco José Caldas, cumpliendo con el marco, constitucional, legal y normativo viegente; garantizando la transparencia y sostenibilidad financiera de acuerdo a los lineamientos establecidos en el contexto estratégico y misional de la institución.</t>
  </si>
  <si>
    <t>Garantizar a través de su gestión los servicios relacionados con administración de bienes, infraestructura, planta física, mantenimiento, compras,iinventarios, aseo y seguridad, requeridos para el óptimo desarrollo de las actividades académico-administrativas de la Universidad Distrital Francisco José de Caldas.</t>
  </si>
  <si>
    <t>Desarrollar las actividades de soporte necesarias para llevar a cabo la Gestión de Laboratorios de la Universidad Distrital Francisco Jose de Caldas mediante el cumplimiento de los lineamientos y políticas institucionales establecidas, brindando así apoyo a las labores misionales.</t>
  </si>
  <si>
    <t>Garantizar que los planes de estudio establecidos para cada proyecto curricular, ofrezcan al estudiante de la UDFJC una formación integral y de calidad, dirigida fundamentalmente a las necesidades de la sociedad, contando con la cantidad e idoneidad de docentes y demás personal que influya directamente en tal proceso de formación, garantizando que se ejecute eficientemente el proceso de enseñanza.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</si>
</sst>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1"/>
      <name val="Calibri"/>
      <family val="2"/>
      <scheme val="minor"/>
    </font>
    <font>
      <sz val="9"/>
      <color indexed="81"/>
      <name val="Tahoma"/>
      <family val="2"/>
    </font>
    <font>
      <sz val="11"/>
      <name val="Arial"/>
      <family val="2"/>
    </font>
    <font>
      <sz val="11"/>
      <color theme="1"/>
      <name val="Arial"/>
      <family val="2"/>
    </font>
    <font>
      <sz val="11"/>
      <color rgb="FFFF0000"/>
      <name val="Calibri"/>
      <family val="2"/>
      <scheme val="minor"/>
    </font>
    <font>
      <sz val="11"/>
      <color theme="1"/>
      <name val="Calibri"/>
      <family val="2"/>
    </font>
    <font>
      <sz val="11"/>
      <name val="Calibri"/>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Font="1" applyAlignment="1">
      <alignment horizontal="center" vertical="center"/>
    </xf>
    <xf numFmtId="0" fontId="2" fillId="2" borderId="16" xfId="0" applyFont="1" applyFill="1" applyBorder="1" applyAlignment="1" applyProtection="1">
      <alignment horizontal="center" vertical="center" wrapText="1"/>
    </xf>
    <xf numFmtId="9" fontId="2" fillId="2" borderId="16" xfId="1"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0" fillId="0" borderId="0" xfId="0" applyFont="1" applyAlignment="1">
      <alignment horizontal="center" vertical="center" wrapText="1"/>
    </xf>
    <xf numFmtId="0" fontId="0" fillId="0" borderId="8" xfId="0" applyFont="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9" fontId="0" fillId="0" borderId="8" xfId="1" applyFont="1" applyBorder="1" applyAlignment="1" applyProtection="1">
      <alignment horizontal="center" vertical="center" wrapText="1"/>
    </xf>
    <xf numFmtId="0" fontId="5" fillId="0" borderId="8" xfId="0" applyFont="1" applyFill="1" applyBorder="1" applyAlignment="1" applyProtection="1">
      <alignment horizontal="justify" vertical="center" wrapText="1"/>
      <protection locked="0"/>
    </xf>
    <xf numFmtId="0" fontId="5" fillId="0" borderId="2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9" fontId="0" fillId="0" borderId="1" xfId="1" applyFont="1" applyBorder="1" applyAlignment="1" applyProtection="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14"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9" fontId="0" fillId="0" borderId="16" xfId="1" applyFont="1" applyBorder="1" applyAlignment="1" applyProtection="1">
      <alignment horizontal="center" vertical="center" wrapText="1"/>
    </xf>
    <xf numFmtId="0" fontId="5" fillId="0" borderId="18"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0" fillId="0" borderId="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9" fontId="0" fillId="0" borderId="8" xfId="1" applyFont="1" applyBorder="1" applyAlignment="1" applyProtection="1">
      <alignment horizontal="center" vertical="center" wrapText="1"/>
    </xf>
    <xf numFmtId="9" fontId="0" fillId="0" borderId="1" xfId="1" applyFont="1" applyBorder="1" applyAlignment="1" applyProtection="1">
      <alignment horizontal="center" vertical="center" wrapText="1"/>
    </xf>
    <xf numFmtId="9" fontId="0" fillId="0" borderId="16" xfId="1" applyFont="1" applyBorder="1" applyAlignment="1" applyProtection="1">
      <alignment horizontal="center" vertical="center" wrapText="1"/>
    </xf>
    <xf numFmtId="0" fontId="0" fillId="0" borderId="8"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8" fillId="0" borderId="16" xfId="0" applyFont="1" applyBorder="1" applyAlignment="1" applyProtection="1">
      <alignment horizontal="left" vertical="center" wrapText="1"/>
      <protection locked="0"/>
    </xf>
    <xf numFmtId="0" fontId="5" fillId="0" borderId="16" xfId="0" applyFont="1" applyFill="1" applyBorder="1" applyAlignment="1" applyProtection="1">
      <alignment horizontal="justify" vertical="center" wrapText="1"/>
      <protection locked="0"/>
    </xf>
    <xf numFmtId="0" fontId="5" fillId="0" borderId="6" xfId="0" applyFont="1" applyFill="1" applyBorder="1" applyAlignment="1" applyProtection="1">
      <alignment horizontal="justify" vertical="center" wrapText="1"/>
      <protection locked="0"/>
    </xf>
    <xf numFmtId="14" fontId="5" fillId="0" borderId="8" xfId="0" applyNumberFormat="1" applyFont="1" applyFill="1" applyBorder="1" applyAlignment="1" applyProtection="1">
      <alignment horizontal="left" vertical="center" wrapText="1"/>
      <protection locked="0"/>
    </xf>
    <xf numFmtId="0" fontId="0" fillId="0" borderId="4"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justify"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10" fillId="0" borderId="8"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1" fillId="0" borderId="8"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11" fillId="0" borderId="16" xfId="0" applyFont="1" applyFill="1" applyBorder="1" applyAlignment="1" applyProtection="1">
      <alignment horizontal="justify" vertical="center" wrapText="1"/>
      <protection locked="0"/>
    </xf>
    <xf numFmtId="0" fontId="11" fillId="0" borderId="8"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9" fontId="10" fillId="0" borderId="8" xfId="1" applyFont="1" applyBorder="1" applyAlignment="1" applyProtection="1">
      <alignment horizontal="center" vertical="center" wrapText="1"/>
    </xf>
    <xf numFmtId="0" fontId="11" fillId="0" borderId="8"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9" fontId="10" fillId="0" borderId="1" xfId="1" applyFont="1" applyBorder="1" applyAlignment="1" applyProtection="1">
      <alignment horizontal="center" vertical="center" wrapText="1"/>
    </xf>
    <xf numFmtId="9" fontId="10" fillId="0" borderId="16" xfId="1" applyFont="1" applyBorder="1" applyAlignment="1" applyProtection="1">
      <alignment horizontal="center" vertical="center" wrapText="1"/>
    </xf>
    <xf numFmtId="0" fontId="10" fillId="0" borderId="16" xfId="0" applyFont="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0" fillId="0" borderId="6" xfId="0" applyFont="1" applyBorder="1" applyAlignment="1" applyProtection="1">
      <alignment horizontal="center" vertical="center" wrapText="1"/>
      <protection locked="0"/>
    </xf>
    <xf numFmtId="0" fontId="5" fillId="0" borderId="24"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9" fontId="0" fillId="0" borderId="8" xfId="1" applyFont="1" applyBorder="1" applyAlignment="1" applyProtection="1">
      <alignment horizontal="center" vertical="center" wrapText="1"/>
    </xf>
    <xf numFmtId="9" fontId="0" fillId="0" borderId="1" xfId="1" applyFont="1" applyBorder="1" applyAlignment="1" applyProtection="1">
      <alignment horizontal="center" vertical="center" wrapText="1"/>
    </xf>
    <xf numFmtId="9" fontId="0" fillId="0" borderId="16" xfId="1" applyFont="1" applyBorder="1" applyAlignment="1" applyProtection="1">
      <alignment horizontal="center" vertical="center" wrapText="1"/>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9" fontId="0" fillId="0" borderId="8" xfId="1" applyFont="1" applyBorder="1" applyAlignment="1" applyProtection="1">
      <alignment horizontal="center" vertical="center" wrapText="1"/>
    </xf>
    <xf numFmtId="9" fontId="0" fillId="0" borderId="1" xfId="1" applyFont="1" applyBorder="1" applyAlignment="1" applyProtection="1">
      <alignment horizontal="center" vertical="center" wrapText="1"/>
    </xf>
    <xf numFmtId="9" fontId="0" fillId="0" borderId="16" xfId="1" applyFont="1" applyBorder="1" applyAlignment="1" applyProtection="1">
      <alignment horizontal="center" vertical="center" wrapText="1"/>
    </xf>
    <xf numFmtId="0" fontId="0" fillId="0" borderId="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8" xfId="0" applyFont="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0" fillId="0" borderId="0" xfId="0" applyAlignment="1">
      <alignment horizontal="left"/>
    </xf>
    <xf numFmtId="0" fontId="5" fillId="0" borderId="4" xfId="0" applyFont="1" applyBorder="1" applyAlignment="1" applyProtection="1">
      <alignment horizontal="left" vertical="center" wrapText="1"/>
      <protection locked="0"/>
    </xf>
    <xf numFmtId="0" fontId="0" fillId="0" borderId="4" xfId="0" applyFont="1" applyBorder="1" applyAlignment="1" applyProtection="1">
      <alignment horizontal="center" vertical="center" wrapText="1"/>
      <protection locked="0"/>
    </xf>
    <xf numFmtId="0" fontId="0"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center" vertical="center" wrapText="1"/>
      <protection locked="0"/>
    </xf>
    <xf numFmtId="9" fontId="0" fillId="0" borderId="4" xfId="1" applyFont="1" applyBorder="1" applyAlignment="1" applyProtection="1">
      <alignment horizontal="center" vertical="center" wrapText="1"/>
    </xf>
    <xf numFmtId="9" fontId="0" fillId="0" borderId="4" xfId="1" applyFont="1" applyBorder="1" applyAlignment="1" applyProtection="1">
      <alignment horizontal="center" vertical="center" wrapText="1"/>
    </xf>
    <xf numFmtId="0" fontId="5" fillId="0" borderId="4"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0" fillId="3" borderId="0" xfId="0" applyFont="1" applyFill="1" applyAlignment="1">
      <alignment vertical="center"/>
    </xf>
    <xf numFmtId="0" fontId="0" fillId="3" borderId="0" xfId="0" applyFont="1" applyFill="1" applyAlignment="1">
      <alignment horizontal="left" vertical="center"/>
    </xf>
    <xf numFmtId="0" fontId="0" fillId="3" borderId="0" xfId="0" applyFont="1" applyFill="1" applyAlignment="1">
      <alignment horizontal="center" vertical="center"/>
    </xf>
    <xf numFmtId="0" fontId="0" fillId="3" borderId="0" xfId="0" applyFont="1" applyFill="1" applyAlignment="1">
      <alignment horizontal="center" vertical="center" wrapText="1"/>
    </xf>
    <xf numFmtId="0" fontId="0" fillId="3" borderId="0" xfId="0" applyFill="1"/>
    <xf numFmtId="0" fontId="0" fillId="0" borderId="8"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9" fontId="0" fillId="0" borderId="8" xfId="1" applyFont="1" applyBorder="1" applyAlignment="1" applyProtection="1">
      <alignment horizontal="center" vertical="center" wrapText="1"/>
    </xf>
    <xf numFmtId="9" fontId="0" fillId="0" borderId="1" xfId="1" applyFont="1" applyBorder="1" applyAlignment="1" applyProtection="1">
      <alignment horizontal="center" vertical="center" wrapText="1"/>
    </xf>
    <xf numFmtId="9" fontId="0" fillId="0" borderId="16" xfId="1" applyFont="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6" xfId="0" applyFont="1" applyBorder="1" applyAlignment="1">
      <alignment horizontal="left" vertical="center" wrapText="1"/>
    </xf>
    <xf numFmtId="0" fontId="0" fillId="0" borderId="8" xfId="0" applyFont="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8"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2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7" xfId="0" applyFont="1" applyBorder="1" applyAlignment="1">
      <alignment horizontal="left" vertical="center" wrapText="1"/>
    </xf>
    <xf numFmtId="0" fontId="0" fillId="0" borderId="23" xfId="0" applyFont="1" applyBorder="1" applyAlignment="1">
      <alignment horizontal="left" vertical="center" wrapText="1"/>
    </xf>
    <xf numFmtId="0" fontId="0" fillId="0" borderId="1" xfId="0" applyFont="1" applyBorder="1" applyAlignment="1" applyProtection="1">
      <alignment horizontal="left" vertical="center"/>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0" fillId="0" borderId="4" xfId="0" applyFont="1" applyBorder="1" applyAlignment="1" applyProtection="1">
      <alignment horizontal="center" vertical="center" wrapText="1"/>
    </xf>
    <xf numFmtId="9" fontId="0" fillId="0" borderId="4" xfId="1"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0" fillId="0" borderId="4"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4" xfId="0" applyFont="1" applyBorder="1" applyAlignment="1">
      <alignment horizontal="left" vertical="center" wrapText="1"/>
    </xf>
    <xf numFmtId="0" fontId="5"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2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0" fillId="0" borderId="1" xfId="0" applyFont="1" applyBorder="1" applyAlignment="1" applyProtection="1">
      <alignment horizontal="justify" vertical="center" wrapText="1"/>
      <protection locked="0"/>
    </xf>
    <xf numFmtId="0" fontId="0" fillId="0" borderId="16" xfId="0" applyFont="1" applyBorder="1" applyAlignment="1" applyProtection="1">
      <alignment horizontal="justify" vertical="center" wrapText="1"/>
      <protection locked="0"/>
    </xf>
    <xf numFmtId="0" fontId="0" fillId="0" borderId="8" xfId="0" applyFont="1" applyBorder="1" applyAlignment="1" applyProtection="1">
      <alignment horizontal="justify" vertical="center" wrapText="1"/>
      <protection locked="0"/>
    </xf>
    <xf numFmtId="0" fontId="11" fillId="0" borderId="8"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0" fillId="0" borderId="8"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8" fillId="0" borderId="16"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8"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6" xfId="0" applyFont="1" applyBorder="1" applyAlignment="1" applyProtection="1">
      <alignment horizontal="justify" vertical="center" wrapText="1"/>
      <protection locked="0"/>
    </xf>
    <xf numFmtId="0" fontId="7" fillId="0" borderId="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0" fillId="0" borderId="8" xfId="0" applyFont="1" applyBorder="1" applyAlignment="1" applyProtection="1">
      <alignment horizontal="justify" vertical="center" wrapText="1"/>
      <protection locked="0"/>
    </xf>
    <xf numFmtId="0" fontId="10" fillId="0" borderId="1"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9" fontId="10" fillId="0" borderId="8" xfId="1" applyFont="1" applyBorder="1" applyAlignment="1" applyProtection="1">
      <alignment horizontal="center" vertical="center" wrapText="1"/>
    </xf>
    <xf numFmtId="9" fontId="10" fillId="0" borderId="1" xfId="1" applyFont="1" applyBorder="1" applyAlignment="1" applyProtection="1">
      <alignment horizontal="center" vertical="center" wrapText="1"/>
    </xf>
    <xf numFmtId="9" fontId="10" fillId="0" borderId="16" xfId="1"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0" fillId="0" borderId="5"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0"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cellXfs>
  <cellStyles count="2">
    <cellStyle name="Normal" xfId="0" builtinId="0"/>
    <cellStyle name="Porcentaje" xfId="1" builtinId="5"/>
  </cellStyles>
  <dxfs count="88">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xdr:row>
      <xdr:rowOff>295275</xdr:rowOff>
    </xdr:from>
    <xdr:to>
      <xdr:col>4</xdr:col>
      <xdr:colOff>1933575</xdr:colOff>
      <xdr:row>3</xdr:row>
      <xdr:rowOff>58918</xdr:rowOff>
    </xdr:to>
    <xdr:pic>
      <xdr:nvPicPr>
        <xdr:cNvPr id="6" name="2 Imagen">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6025" y="485775"/>
          <a:ext cx="1828800" cy="525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85726</xdr:colOff>
      <xdr:row>1</xdr:row>
      <xdr:rowOff>47626</xdr:rowOff>
    </xdr:from>
    <xdr:to>
      <xdr:col>0</xdr:col>
      <xdr:colOff>1057276</xdr:colOff>
      <xdr:row>3</xdr:row>
      <xdr:rowOff>284738</xdr:rowOff>
    </xdr:to>
    <xdr:pic>
      <xdr:nvPicPr>
        <xdr:cNvPr id="8" name="4 Imagen" descr="D:\Users\aplaneacion3\Documents\Desktop\Boris\Escudo UDFJC.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38126"/>
          <a:ext cx="971550" cy="9991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0%20GJ-GI-MG-001-FR-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2%20GC-GI-MG-001-FR-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3%20GI-MG-001-FR-014%20Mapa%20Integral%20de%20Riesgos%20GSI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4%20GRF-GI-MG-001-FR-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5%20matriz%20riesgos%20Acredit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6%20MIR%20Interinstitucionalizaci&#243;n%20e%20Internacionalizac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7%20Mapa%20Integral%20de%20riesgos%20Gesti&#243;n%20Integr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8%20Mapa%20Integral%20de%20Riesgos%20Control%20Disciplinari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9%20Matriz%20Riesgos%20GI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10%20Matriz%20de%20Riesgos%20La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11%20MIR%20Gesti&#243;n%20de%20Docen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14%20PEI-MG-001-FR-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15%20SAC-MG-001-FR-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laneacion9/Desktop/Nelsy%20Garz&#243;n/2017/12%20Varios/RIESGOS/1%20EPS-GI-MG-001-FR-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Riesgos\Riesgos%20-%20G.%20Docencia\F.%20Tecnol&#243;gica\Matriz%20de%20riesgos%20Gesti&#243;n%20de%20Doc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Gestión Jurídica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Gestión Contractual</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Gráfico4"/>
      <sheetName val="Gráfico3"/>
      <sheetName val="Gráfico2"/>
      <sheetName val="Gráfico1"/>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Gestión de Recursos Financieros</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Autoevaluación y Acreditación</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Gestión Integrada</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efreshError="1">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Gráfico1"/>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refreshError="1"/>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row r="7">
          <cell r="C7" t="str">
            <v>Planeación Estratégica e Institucional</v>
          </cell>
        </row>
      </sheetData>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row r="3">
          <cell r="B3" t="str">
            <v>Todos los Procesos</v>
          </cell>
        </row>
        <row r="212">
          <cell r="B212" t="str">
            <v>Rara vez - 1</v>
          </cell>
          <cell r="D212" t="str">
            <v>MODERADA 25</v>
          </cell>
          <cell r="E212" t="str">
            <v>ALTA 50</v>
          </cell>
          <cell r="F212" t="str">
            <v>EXTREMA 100</v>
          </cell>
        </row>
        <row r="213">
          <cell r="B213" t="str">
            <v>Improbable - 2</v>
          </cell>
          <cell r="D213" t="str">
            <v>MODERADA 20</v>
          </cell>
          <cell r="E213" t="str">
            <v>ALTA 40</v>
          </cell>
          <cell r="F213" t="str">
            <v>EXTREMA 80</v>
          </cell>
        </row>
        <row r="214">
          <cell r="B214" t="str">
            <v>Posible - 3</v>
          </cell>
          <cell r="D214" t="str">
            <v>MODERADA 15</v>
          </cell>
          <cell r="E214" t="str">
            <v>ALTA 30</v>
          </cell>
          <cell r="F214" t="str">
            <v>EXTREMA 60</v>
          </cell>
        </row>
        <row r="215">
          <cell r="B215" t="str">
            <v>Probable - 4</v>
          </cell>
          <cell r="D215" t="str">
            <v>BAJA 10</v>
          </cell>
          <cell r="E215" t="str">
            <v>MODERADA 20</v>
          </cell>
          <cell r="F215" t="str">
            <v>ALTA 40</v>
          </cell>
        </row>
        <row r="216">
          <cell r="B216" t="str">
            <v>Casi seguro - 5</v>
          </cell>
          <cell r="D216" t="str">
            <v>BAJA 5</v>
          </cell>
          <cell r="E216" t="str">
            <v>BAJA 10</v>
          </cell>
          <cell r="F216" t="str">
            <v>MODERADA 20</v>
          </cell>
        </row>
        <row r="219">
          <cell r="B219" t="str">
            <v>Moderado - 5</v>
          </cell>
        </row>
        <row r="220">
          <cell r="B220" t="str">
            <v>Mayor - 10</v>
          </cell>
        </row>
        <row r="221">
          <cell r="B221" t="str">
            <v>Catastrófico - 20</v>
          </cell>
        </row>
        <row r="223">
          <cell r="B223" t="str">
            <v>TIPO DE CONTROL</v>
          </cell>
        </row>
        <row r="224">
          <cell r="B224" t="str">
            <v xml:space="preserve">Preventivo </v>
          </cell>
        </row>
        <row r="225">
          <cell r="B225" t="str">
            <v>Detectivo</v>
          </cell>
        </row>
        <row r="226">
          <cell r="B226" t="str">
            <v>Correctivo</v>
          </cell>
        </row>
        <row r="229">
          <cell r="B229" t="str">
            <v>Sí - 5</v>
          </cell>
        </row>
        <row r="231">
          <cell r="B231" t="str">
            <v>Sí - 10</v>
          </cell>
        </row>
        <row r="233">
          <cell r="B233" t="str">
            <v>Sí - 15</v>
          </cell>
        </row>
        <row r="235">
          <cell r="B235" t="str">
            <v>Sí - 30</v>
          </cell>
        </row>
      </sheetData>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SGC"/>
      <sheetName val="SGA"/>
      <sheetName val="SGSST"/>
      <sheetName val="SGSI"/>
      <sheetName val="Riesgos de Corrupción"/>
      <sheetName val="Clasificación del Riesgo"/>
      <sheetName val="Calificación del Control"/>
      <sheetName val="Zona de Riesg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ú"/>
      <sheetName val="Gráfico1"/>
      <sheetName val="SGC"/>
      <sheetName val="SGA"/>
      <sheetName val="SGSST"/>
      <sheetName val="SGSI"/>
      <sheetName val="Riesgos de Corrupción"/>
      <sheetName val="Clasificación del Riesgo"/>
      <sheetName val="Calificación del Control"/>
      <sheetName val="Zona de Riesgo"/>
    </sheetNames>
    <sheetDataSet>
      <sheetData sheetId="0"/>
      <sheetData sheetId="1"/>
      <sheetData sheetId="2" refreshError="1"/>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43"/>
  <sheetViews>
    <sheetView tabSelected="1" zoomScaleNormal="100" zoomScaleSheetLayoutView="84" workbookViewId="0">
      <selection sqref="A1:AG1048576"/>
    </sheetView>
  </sheetViews>
  <sheetFormatPr baseColWidth="10" defaultRowHeight="15" x14ac:dyDescent="0.25"/>
  <cols>
    <col min="1" max="1" width="17.140625" customWidth="1"/>
    <col min="2" max="2" width="39.42578125" bestFit="1" customWidth="1"/>
    <col min="3" max="3" width="66.85546875" customWidth="1"/>
    <col min="4" max="4" width="24.28515625" customWidth="1"/>
    <col min="5" max="5" width="31.85546875" customWidth="1"/>
    <col min="6" max="6" width="28.5703125" style="112" customWidth="1"/>
    <col min="7" max="8" width="54.28515625" customWidth="1"/>
    <col min="9" max="10" width="25.7109375" customWidth="1"/>
    <col min="11" max="11" width="30" customWidth="1"/>
    <col min="12" max="12" width="52" customWidth="1"/>
    <col min="13" max="13" width="34.28515625" customWidth="1"/>
    <col min="14" max="20" width="32.7109375" customWidth="1"/>
    <col min="21" max="21" width="14.28515625" customWidth="1"/>
    <col min="22" max="25" width="25.7109375" customWidth="1"/>
    <col min="26" max="26" width="31" bestFit="1" customWidth="1"/>
    <col min="27" max="27" width="33.140625" customWidth="1"/>
    <col min="28" max="28" width="50.28515625" customWidth="1"/>
    <col min="29" max="29" width="50.140625" customWidth="1"/>
    <col min="30" max="30" width="28.5703125" customWidth="1"/>
    <col min="31" max="31" width="50" customWidth="1"/>
    <col min="32" max="33" width="28.5703125" customWidth="1"/>
    <col min="34" max="43" width="11.42578125" style="126"/>
  </cols>
  <sheetData>
    <row r="1" spans="1:43" s="1" customFormat="1" ht="15" customHeight="1" x14ac:dyDescent="0.25">
      <c r="A1" s="122"/>
      <c r="B1" s="122"/>
      <c r="C1" s="122"/>
      <c r="D1" s="122"/>
      <c r="E1" s="122"/>
      <c r="F1" s="123"/>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row>
    <row r="2" spans="1:43" s="1" customFormat="1" ht="30" customHeight="1" x14ac:dyDescent="0.25">
      <c r="A2" s="268"/>
      <c r="B2" s="269" t="s">
        <v>0</v>
      </c>
      <c r="C2" s="270"/>
      <c r="D2" s="2" t="s">
        <v>1</v>
      </c>
      <c r="E2" s="271"/>
      <c r="F2" s="123"/>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row>
    <row r="3" spans="1:43" s="1" customFormat="1" ht="30" customHeight="1" x14ac:dyDescent="0.25">
      <c r="A3" s="268"/>
      <c r="B3" s="274" t="s">
        <v>2</v>
      </c>
      <c r="C3" s="275"/>
      <c r="D3" s="2" t="s">
        <v>3</v>
      </c>
      <c r="E3" s="272"/>
      <c r="F3" s="123"/>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row>
    <row r="4" spans="1:43" s="1" customFormat="1" ht="30" customHeight="1" x14ac:dyDescent="0.25">
      <c r="A4" s="268"/>
      <c r="B4" s="274" t="s">
        <v>4</v>
      </c>
      <c r="C4" s="275"/>
      <c r="D4" s="3" t="s">
        <v>5</v>
      </c>
      <c r="E4" s="273"/>
      <c r="F4" s="123"/>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row>
    <row r="5" spans="1:43" s="1" customFormat="1" ht="15" customHeight="1" x14ac:dyDescent="0.25">
      <c r="A5" s="122"/>
      <c r="B5" s="122"/>
      <c r="C5" s="122"/>
      <c r="D5" s="122"/>
      <c r="E5" s="122"/>
      <c r="F5" s="123"/>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row>
    <row r="6" spans="1:43" s="1" customFormat="1" ht="15" customHeight="1" thickBot="1" x14ac:dyDescent="0.3">
      <c r="A6" s="122"/>
      <c r="B6" s="122"/>
      <c r="C6" s="122"/>
      <c r="D6" s="122"/>
      <c r="E6" s="122"/>
      <c r="F6" s="123"/>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row>
    <row r="7" spans="1:43" s="4" customFormat="1" ht="15" customHeight="1" x14ac:dyDescent="0.25">
      <c r="A7" s="276" t="s">
        <v>6</v>
      </c>
      <c r="B7" s="253"/>
      <c r="C7" s="256" t="s">
        <v>7</v>
      </c>
      <c r="D7" s="256" t="s">
        <v>8</v>
      </c>
      <c r="E7" s="256"/>
      <c r="F7" s="250" t="s">
        <v>9</v>
      </c>
      <c r="G7" s="253" t="s">
        <v>10</v>
      </c>
      <c r="H7" s="256" t="s">
        <v>11</v>
      </c>
      <c r="I7" s="259" t="s">
        <v>12</v>
      </c>
      <c r="J7" s="259"/>
      <c r="K7" s="260"/>
      <c r="L7" s="261" t="s">
        <v>13</v>
      </c>
      <c r="M7" s="262"/>
      <c r="N7" s="262"/>
      <c r="O7" s="262"/>
      <c r="P7" s="262"/>
      <c r="Q7" s="262"/>
      <c r="R7" s="262"/>
      <c r="S7" s="262"/>
      <c r="T7" s="262"/>
      <c r="U7" s="262"/>
      <c r="V7" s="262"/>
      <c r="W7" s="262"/>
      <c r="X7" s="262"/>
      <c r="Y7" s="262"/>
      <c r="Z7" s="262"/>
      <c r="AA7" s="262"/>
      <c r="AB7" s="262"/>
      <c r="AC7" s="262"/>
      <c r="AD7" s="262"/>
      <c r="AE7" s="262"/>
      <c r="AF7" s="262"/>
      <c r="AG7" s="263"/>
      <c r="AH7" s="124"/>
      <c r="AI7" s="124"/>
      <c r="AJ7" s="124"/>
      <c r="AK7" s="124"/>
      <c r="AL7" s="124"/>
      <c r="AM7" s="124"/>
      <c r="AN7" s="124"/>
      <c r="AO7" s="124"/>
      <c r="AP7" s="124"/>
      <c r="AQ7" s="124"/>
    </row>
    <row r="8" spans="1:43" s="4" customFormat="1" ht="15" customHeight="1" x14ac:dyDescent="0.25">
      <c r="A8" s="277"/>
      <c r="B8" s="254"/>
      <c r="C8" s="257"/>
      <c r="D8" s="257" t="s">
        <v>14</v>
      </c>
      <c r="E8" s="257"/>
      <c r="F8" s="251"/>
      <c r="G8" s="254"/>
      <c r="H8" s="257"/>
      <c r="I8" s="243" t="s">
        <v>15</v>
      </c>
      <c r="J8" s="243" t="s">
        <v>16</v>
      </c>
      <c r="K8" s="264" t="s">
        <v>17</v>
      </c>
      <c r="L8" s="266" t="s">
        <v>18</v>
      </c>
      <c r="M8" s="243" t="s">
        <v>19</v>
      </c>
      <c r="N8" s="243" t="s">
        <v>20</v>
      </c>
      <c r="O8" s="243"/>
      <c r="P8" s="243"/>
      <c r="Q8" s="243"/>
      <c r="R8" s="243"/>
      <c r="S8" s="243"/>
      <c r="T8" s="243"/>
      <c r="U8" s="248" t="s">
        <v>21</v>
      </c>
      <c r="V8" s="243" t="s">
        <v>22</v>
      </c>
      <c r="W8" s="243"/>
      <c r="X8" s="243" t="s">
        <v>23</v>
      </c>
      <c r="Y8" s="243"/>
      <c r="Z8" s="243" t="s">
        <v>24</v>
      </c>
      <c r="AA8" s="243" t="s">
        <v>25</v>
      </c>
      <c r="AB8" s="243"/>
      <c r="AC8" s="243"/>
      <c r="AD8" s="243" t="s">
        <v>26</v>
      </c>
      <c r="AE8" s="243"/>
      <c r="AF8" s="243"/>
      <c r="AG8" s="244"/>
      <c r="AH8" s="124"/>
      <c r="AI8" s="124"/>
      <c r="AJ8" s="124"/>
      <c r="AK8" s="124"/>
      <c r="AL8" s="124"/>
      <c r="AM8" s="124"/>
      <c r="AN8" s="124"/>
      <c r="AO8" s="124"/>
      <c r="AP8" s="124"/>
      <c r="AQ8" s="124"/>
    </row>
    <row r="9" spans="1:43" s="4" customFormat="1" ht="45" customHeight="1" thickBot="1" x14ac:dyDescent="0.3">
      <c r="A9" s="278"/>
      <c r="B9" s="255"/>
      <c r="C9" s="258"/>
      <c r="D9" s="258"/>
      <c r="E9" s="258"/>
      <c r="F9" s="252"/>
      <c r="G9" s="255"/>
      <c r="H9" s="258"/>
      <c r="I9" s="247"/>
      <c r="J9" s="247"/>
      <c r="K9" s="265"/>
      <c r="L9" s="267"/>
      <c r="M9" s="247"/>
      <c r="N9" s="5" t="s">
        <v>27</v>
      </c>
      <c r="O9" s="5" t="s">
        <v>28</v>
      </c>
      <c r="P9" s="5" t="s">
        <v>29</v>
      </c>
      <c r="Q9" s="5" t="s">
        <v>30</v>
      </c>
      <c r="R9" s="5" t="s">
        <v>31</v>
      </c>
      <c r="S9" s="5" t="s">
        <v>32</v>
      </c>
      <c r="T9" s="5" t="s">
        <v>33</v>
      </c>
      <c r="U9" s="249"/>
      <c r="V9" s="6" t="s">
        <v>34</v>
      </c>
      <c r="W9" s="7" t="s">
        <v>35</v>
      </c>
      <c r="X9" s="6" t="s">
        <v>34</v>
      </c>
      <c r="Y9" s="7" t="s">
        <v>36</v>
      </c>
      <c r="Z9" s="247"/>
      <c r="AA9" s="6" t="s">
        <v>37</v>
      </c>
      <c r="AB9" s="6" t="s">
        <v>38</v>
      </c>
      <c r="AC9" s="7" t="s">
        <v>39</v>
      </c>
      <c r="AD9" s="6" t="s">
        <v>40</v>
      </c>
      <c r="AE9" s="6" t="s">
        <v>38</v>
      </c>
      <c r="AF9" s="6" t="s">
        <v>41</v>
      </c>
      <c r="AG9" s="8" t="s">
        <v>42</v>
      </c>
      <c r="AH9" s="124"/>
      <c r="AI9" s="124"/>
      <c r="AJ9" s="124"/>
      <c r="AK9" s="124"/>
      <c r="AL9" s="124"/>
      <c r="AM9" s="124"/>
      <c r="AN9" s="124"/>
      <c r="AO9" s="124"/>
      <c r="AP9" s="124"/>
      <c r="AQ9" s="124"/>
    </row>
    <row r="10" spans="1:43" s="9" customFormat="1" ht="76.5" customHeight="1" x14ac:dyDescent="0.25">
      <c r="A10" s="151" t="s">
        <v>530</v>
      </c>
      <c r="B10" s="127"/>
      <c r="C10" s="154" t="s">
        <v>536</v>
      </c>
      <c r="D10" s="245" t="s">
        <v>445</v>
      </c>
      <c r="E10" s="246"/>
      <c r="F10" s="185" t="s">
        <v>434</v>
      </c>
      <c r="G10" s="157" t="s">
        <v>43</v>
      </c>
      <c r="H10" s="10" t="s">
        <v>44</v>
      </c>
      <c r="I10" s="148" t="s">
        <v>45</v>
      </c>
      <c r="J10" s="148" t="s">
        <v>46</v>
      </c>
      <c r="K10" s="133" t="str">
        <f>IF(AND(I10=[1]Datos!$B$212,J10=[1]Datos!$B$219),[1]Datos!$D$216,IF(AND(I10=[1]Datos!$B$212,J10=[1]Datos!$B$220),[1]Datos!$E$216,IF(AND(I10=[1]Datos!$B$212,J10=[1]Datos!$B$221),[1]Datos!$F$216,IF(AND(I10=[1]Datos!$B$213,J10=[1]Datos!$B$219),[1]Datos!$D$215,IF(AND(I10=[1]Datos!$B$213,J10=[1]Datos!$B$220),[1]Datos!$E$215,IF(AND(I10=[1]Datos!$B$213,J10=[1]Datos!$B$221),[1]Datos!$F$215,IF(AND(I10=[1]Datos!$B$214,J10=[1]Datos!$B$219),[1]Datos!$D$214,IF(AND(I10=[1]Datos!$B$214,J10=[1]Datos!$B$220),[1]Datos!$E$214,IF(AND(I10=[1]Datos!$B$214,J10=[1]Datos!$B$221),[1]Datos!$F$214,IF(AND(I10=[1]Datos!$B$215,J10=[1]Datos!$B$219),[1]Datos!$D$213,IF(AND(I10=[1]Datos!$B$215,J10=[1]Datos!$B$220),[1]Datos!$E$213,IF(AND(I10=[1]Datos!$B$215,J10=[1]Datos!$B$221),[1]Datos!$F$213,IF(AND(I10=[1]Datos!$B$216,J10=[1]Datos!$B$219),[1]Datos!$D$212,IF(AND(I10=[1]Datos!$B$216,J10=[1]Datos!$B$220),[1]Datos!$E$212,IF(AND(I10=[1]Datos!$B$216,J10=[1]Datos!$B$221),[1]Datos!$F$212,"-")))))))))))))))</f>
        <v>EXTREMA 60</v>
      </c>
      <c r="L10" s="11" t="s">
        <v>360</v>
      </c>
      <c r="M10" s="12" t="s">
        <v>47</v>
      </c>
      <c r="N10" s="13" t="s">
        <v>48</v>
      </c>
      <c r="O10" s="13" t="s">
        <v>49</v>
      </c>
      <c r="P10" s="13" t="s">
        <v>48</v>
      </c>
      <c r="Q10" s="13" t="s">
        <v>50</v>
      </c>
      <c r="R10" s="13" t="s">
        <v>48</v>
      </c>
      <c r="S10" s="13" t="s">
        <v>51</v>
      </c>
      <c r="T10" s="13" t="s">
        <v>52</v>
      </c>
      <c r="U10" s="14">
        <f>((IF(N10=[1]Datos!$B$233,15,0))/100)+((IF(O10=[1]Datos!$B$229,5,0))/100)+((IF(P10=[1]Datos!$B$233,15,0))/100)+((IF(Q10=[1]Datos!$B$231,10,0))/100)+((IF(R10=[1]Datos!$B$233,15,0))/100)+((IF(S10=[1]Datos!$B$231,10,0))/100)+((IF(T10=[1]Datos!$B$235,30,0))/100)</f>
        <v>0.89999999999999991</v>
      </c>
      <c r="V10" s="130">
        <f>IF(ISERROR(((IF(M10=[1]Datos!$B$224,U10,0))+(IF(M11=[1]Datos!$B$224,U11,0))+(IF(M12=[1]Datos!$B$224,U12,0))+(IF(M13=[1]Datos!$B$224,U13,0))+(IF(M14=[1]Datos!$B$224,U14,0))+(IF(M15=[1]Datos!$B$224,U15,0)))/((IF(M10=[1]Datos!$B$224,1,0))+(IF(M11=[1]Datos!$B$224,1,0))+(IF(M12=[1]Datos!$B$224,1,0))+(IF(M13=[1]Datos!$B$224,1,0))+(IF(M14=[1]Datos!$B$224,1,0))+(IF(M15=[1]Datos!$B$224,1,0)))),0,(((IF(M10=[1]Datos!$B$224,U10,0))+(IF(M11=[1]Datos!$B$224,U11,0))+(IF(M12=[1]Datos!$B$224,U12,0))+(IF(M13=[1]Datos!$B$224,U13,0))+(IF(M14=[1]Datos!$B$224,U14,0))+(IF(M15=[1]Datos!$B$224,U15,0)))/((IF(M10=[1]Datos!$B$224,1,0))+(IF(M11=[1]Datos!$B$224,1,0))+(IF(M12=[1]Datos!$B$224,1,0))+(IF(M13=[1]Datos!$B$224,1,0))+(IF(M14=[1]Datos!$B$224,1,0))+(IF(M15=[1]Datos!$B$224,1,0)))))</f>
        <v>0.89999999999999991</v>
      </c>
      <c r="W10" s="127" t="str">
        <f>IF(I10="","-",(IF(V10&gt;0,(IF(I10=[1]Datos!$B$212,[1]Datos!$B$212,IF(AND(I10=[1]Datos!$B$213,V10&gt;0.49),[1]Datos!$B$212,IF(AND(I10=[1]Datos!$B$214,V10&gt;0.74),[1]Datos!$B$212,IF(AND(I10=[1]Datos!$B$214,V10&lt;0.75,V10&gt;0.49),[1]Datos!$B$213,IF(AND(I10=[1]Datos!$B$215,V10&gt;0.74),[1]Datos!$B$213,IF(AND(I10=[1]Datos!$B$215,V10&lt;0.75,V10&gt;0.49),[1]Datos!$B$214,IF(AND(I10=[1]Datos!$B$216,V10&gt;0.74),[1]Datos!$B$214,IF(AND(I10=[1]Datos!$B$216,V10&lt;0.75,V10&gt;0.49),[1]Datos!$B$215,I10))))))))),I10)))</f>
        <v>Rara vez - 1</v>
      </c>
      <c r="X10" s="130">
        <f>IF(ISERROR(((IF(M10=[1]Datos!$B$225,U10,0))+(IF(M11=[1]Datos!$B$225,U11,0))+(IF(M12=[1]Datos!$B$225,U12,0))+(IF(M13=[1]Datos!$B$225,U13,0))+(IF(M14=[1]Datos!$B$225,U14,0))+(IF(M15=[1]Datos!$B$225,U15,0))+(IF(M10=[1]Datos!$B$226,U10,0))+(IF(M11=[1]Datos!$B$226,U11,0))+(IF(M12=[1]Datos!$B$226,U12,0))+(IF(M13=[1]Datos!$B$226,U13,0))+(IF(M14=[1]Datos!$B$226,U14,0))+(IF(M15=[1]Datos!$B$226,U15,0)))/((IF(M10=[1]Datos!$B$225,1,0))+(IF(M11=[1]Datos!$B$225,1,0))+(IF(M12=[1]Datos!$B$225,1,0))+(IF(M13=[1]Datos!$B$225,1,0))+(IF(M14=[1]Datos!$B$225,1,0))+(IF(M15=[1]Datos!$B$225,1,0))+(IF(M10=[1]Datos!$B$226,1,0))+(IF(M11=[1]Datos!$B$226,1,0))+(IF(M12=[1]Datos!$B$226,1,0))+(IF(M13=[1]Datos!$B$226,1,0))+(IF(M14=[1]Datos!$B$226,1,0))+(IF(M15=[1]Datos!$B$226,1,0)))),0,((IF(M10=[1]Datos!$B$225,U10,0))+(IF(M11=[1]Datos!$B$225,U11,0))+(IF(M12=[1]Datos!$B$225,U12,0))+(IF(M13=[1]Datos!$B$225,U13,0))+(IF(M14=[1]Datos!$B$225,U14,0))+(IF(M15=[1]Datos!$B$225,U15,0))+(IF(M10=[1]Datos!$B$226,U10,0))+(IF(M11=[1]Datos!$B$226,U11,0))+(IF(M12=[1]Datos!$B$226,U12,0))+(IF(M13=[1]Datos!$B$226,U13,0))+(IF(M14=[1]Datos!$B$226,U14,0))+(IF(M15=[1]Datos!$B$226,U15,0)))/((IF(M10=[1]Datos!$B$225,1,0))+(IF(M11=[1]Datos!$B$225,1,0))+(IF(M12=[1]Datos!$B$225,1,0))+(IF(M13=[1]Datos!$B$225,1,0))+(IF(M14=[1]Datos!$B$225,1,0))+(IF(M15=[1]Datos!$B$225,1,0))+(IF(M10=[1]Datos!$B$226,1,0))+(IF(M11=[1]Datos!$B$226,1,0))+(IF(M12=[1]Datos!$B$226,1,0))+(IF(M13=[1]Datos!$B$226,1,0))+(IF(M14=[1]Datos!$B$226,1,0))+(IF(M15=[1]Datos!$B$226,1,0))))</f>
        <v>0</v>
      </c>
      <c r="Y10" s="127" t="str">
        <f>IF(J10="","-",(IF(X10&gt;0,(IF(J10=[1]Datos!$B$219,[1]Datos!$B$219,IF(AND(J10=[1]Datos!$B$220,X10&gt;0.49),[1]Datos!$B$219,IF(AND(J10=[1]Datos!$B$221,X10&gt;0.74),[1]Datos!$B$219,IF(AND(J10=[1]Datos!$B$221,X10&lt;0.75,X10&gt;0.49),[1]Datos!$B$220,IF(AND(J10=[1]Datos!$B$222,X10&gt;0.74),[1]Datos!$B$220,IF(AND(J10=[1]Datos!$B$222,X10&lt;0.75,X10&gt;0.49),[1]Datos!$B$221,IF(AND(J10=[1]Datos!$B$223,X10&gt;0.74),[1]Datos!$B$221,IF(AND(J10=[1]Datos!$B$223,X10&lt;0.75,X10&gt;0.49),[1]Datos!$B$222,J10))))))))),J10)))</f>
        <v>Catastrófico - 20</v>
      </c>
      <c r="Z10" s="133" t="str">
        <f>IF(AND(W10=[1]Datos!$B$212,Y10=[1]Datos!$B$219),[1]Datos!$D$216,IF(AND(W10=[1]Datos!$B$212,Y10=[1]Datos!$B$220),[1]Datos!$E$216,IF(AND(W10=[1]Datos!$B$212,Y10=[1]Datos!$B$221),[1]Datos!$F$216,IF(AND(W10=[1]Datos!$B$213,Y10=[1]Datos!$B$219),[1]Datos!$D$215,IF(AND(W10=[1]Datos!$B$213,Y10=[1]Datos!$B$220),[1]Datos!$E$215,IF(AND(W10=[1]Datos!$B$213,Y10=[1]Datos!$B$221),[1]Datos!$F$215,IF(AND(W10=[1]Datos!$B$214,Y10=[1]Datos!$B$219),[1]Datos!$D$214,IF(AND(W10=[1]Datos!$B$214,Y10=[1]Datos!$B$220),[1]Datos!$E$214,IF(AND(W10=[1]Datos!$B$214,Y10=[1]Datos!$B$221),[1]Datos!$F$214,IF(AND(W10=[1]Datos!$B$215,Y10=[1]Datos!$B$219),[1]Datos!$D$213,IF(AND(W10=[1]Datos!$B$215,Y10=[1]Datos!$B$220),[1]Datos!$E$213,IF(AND(W10=[1]Datos!$B$215,Y10=[1]Datos!$B$221),[1]Datos!$F$213,IF(AND(W10=[1]Datos!$B$216,Y10=[1]Datos!$B$219),[1]Datos!$D$212,IF(AND(W10=[1]Datos!$B$216,Y10=[1]Datos!$B$220),[1]Datos!$E$212,IF(AND(W10=[1]Datos!$B$216,Y10=[1]Datos!$B$221),[1]Datos!$F$212,"-")))))))))))))))</f>
        <v>MODERADA 20</v>
      </c>
      <c r="AA10" s="11" t="s">
        <v>359</v>
      </c>
      <c r="AB10" s="15" t="s">
        <v>360</v>
      </c>
      <c r="AC10" s="11" t="s">
        <v>361</v>
      </c>
      <c r="AD10" s="11"/>
      <c r="AE10" s="11"/>
      <c r="AF10" s="11"/>
      <c r="AG10" s="16"/>
      <c r="AH10" s="125"/>
      <c r="AI10" s="125"/>
      <c r="AJ10" s="125"/>
      <c r="AK10" s="125"/>
      <c r="AL10" s="125"/>
      <c r="AM10" s="125"/>
      <c r="AN10" s="125"/>
      <c r="AO10" s="125"/>
      <c r="AP10" s="125"/>
      <c r="AQ10" s="125"/>
    </row>
    <row r="11" spans="1:43" s="9" customFormat="1" ht="67.5" customHeight="1" x14ac:dyDescent="0.25">
      <c r="A11" s="152"/>
      <c r="B11" s="128"/>
      <c r="C11" s="155"/>
      <c r="D11" s="197" t="s">
        <v>53</v>
      </c>
      <c r="E11" s="198"/>
      <c r="F11" s="181"/>
      <c r="G11" s="158"/>
      <c r="H11" s="17" t="s">
        <v>54</v>
      </c>
      <c r="I11" s="149"/>
      <c r="J11" s="149"/>
      <c r="K11" s="134"/>
      <c r="L11" s="18" t="s">
        <v>380</v>
      </c>
      <c r="M11" s="19" t="s">
        <v>47</v>
      </c>
      <c r="N11" s="20" t="s">
        <v>48</v>
      </c>
      <c r="O11" s="20" t="s">
        <v>49</v>
      </c>
      <c r="P11" s="20" t="s">
        <v>48</v>
      </c>
      <c r="Q11" s="20" t="s">
        <v>50</v>
      </c>
      <c r="R11" s="20" t="s">
        <v>48</v>
      </c>
      <c r="S11" s="20" t="s">
        <v>51</v>
      </c>
      <c r="T11" s="20" t="s">
        <v>52</v>
      </c>
      <c r="U11" s="21">
        <f>((IF(N11=[1]Datos!$B$233,15,0))/100)+((IF(O11=[1]Datos!$B$229,5,0))/100)+((IF(P11=[1]Datos!$B$233,15,0))/100)+((IF(Q11=[1]Datos!$B$231,10,0))/100)+((IF(R11=[1]Datos!$B$233,15,0))/100)+((IF(S11=[1]Datos!$B$231,10,0))/100)+((IF(T11=[1]Datos!$B$235,30,0))/100)</f>
        <v>0.89999999999999991</v>
      </c>
      <c r="V11" s="131"/>
      <c r="W11" s="128"/>
      <c r="X11" s="131"/>
      <c r="Y11" s="128"/>
      <c r="Z11" s="134"/>
      <c r="AA11" s="18"/>
      <c r="AB11" s="22" t="s">
        <v>380</v>
      </c>
      <c r="AC11" s="18"/>
      <c r="AD11" s="18"/>
      <c r="AE11" s="18"/>
      <c r="AF11" s="18"/>
      <c r="AG11" s="23"/>
      <c r="AH11" s="125"/>
      <c r="AI11" s="125"/>
      <c r="AJ11" s="125"/>
      <c r="AK11" s="125"/>
      <c r="AL11" s="125"/>
      <c r="AM11" s="125"/>
      <c r="AN11" s="125"/>
      <c r="AO11" s="125"/>
      <c r="AP11" s="125"/>
      <c r="AQ11" s="125"/>
    </row>
    <row r="12" spans="1:43" s="9" customFormat="1" ht="30" customHeight="1" x14ac:dyDescent="0.25">
      <c r="A12" s="152"/>
      <c r="B12" s="128"/>
      <c r="C12" s="155"/>
      <c r="D12" s="136"/>
      <c r="E12" s="136"/>
      <c r="F12" s="181"/>
      <c r="G12" s="158"/>
      <c r="H12" s="17" t="s">
        <v>55</v>
      </c>
      <c r="I12" s="149"/>
      <c r="J12" s="149"/>
      <c r="K12" s="134"/>
      <c r="L12" s="18"/>
      <c r="M12" s="19"/>
      <c r="N12" s="20"/>
      <c r="O12" s="20"/>
      <c r="P12" s="20"/>
      <c r="Q12" s="20"/>
      <c r="R12" s="20"/>
      <c r="S12" s="20"/>
      <c r="T12" s="20"/>
      <c r="U12" s="21">
        <f>((IF(N12=[1]Datos!$B$233,15,0))/100)+((IF(O12=[1]Datos!$B$229,5,0))/100)+((IF(P12=[1]Datos!$B$233,15,0))/100)+((IF(Q12=[1]Datos!$B$231,10,0))/100)+((IF(R12=[1]Datos!$B$233,15,0))/100)+((IF(S12=[1]Datos!$B$231,10,0))/100)+((IF(T12=[1]Datos!$B$235,30,0))/100)</f>
        <v>0</v>
      </c>
      <c r="V12" s="131"/>
      <c r="W12" s="128"/>
      <c r="X12" s="131"/>
      <c r="Y12" s="128"/>
      <c r="Z12" s="134"/>
      <c r="AA12" s="18"/>
      <c r="AB12" s="18"/>
      <c r="AC12" s="18"/>
      <c r="AD12" s="18"/>
      <c r="AE12" s="18"/>
      <c r="AF12" s="18"/>
      <c r="AG12" s="23"/>
      <c r="AH12" s="125"/>
      <c r="AI12" s="125"/>
      <c r="AJ12" s="125"/>
      <c r="AK12" s="125"/>
      <c r="AL12" s="125"/>
      <c r="AM12" s="125"/>
      <c r="AN12" s="125"/>
      <c r="AO12" s="125"/>
      <c r="AP12" s="125"/>
      <c r="AQ12" s="125"/>
    </row>
    <row r="13" spans="1:43" s="9" customFormat="1" ht="35.25" customHeight="1" x14ac:dyDescent="0.25">
      <c r="A13" s="152"/>
      <c r="B13" s="128"/>
      <c r="C13" s="155"/>
      <c r="D13" s="136"/>
      <c r="E13" s="136"/>
      <c r="F13" s="181"/>
      <c r="G13" s="158"/>
      <c r="H13" s="24" t="s">
        <v>56</v>
      </c>
      <c r="I13" s="149"/>
      <c r="J13" s="149"/>
      <c r="K13" s="134"/>
      <c r="L13" s="18"/>
      <c r="M13" s="19"/>
      <c r="N13" s="20"/>
      <c r="O13" s="20"/>
      <c r="P13" s="20"/>
      <c r="Q13" s="20"/>
      <c r="R13" s="20"/>
      <c r="S13" s="20"/>
      <c r="T13" s="20"/>
      <c r="U13" s="21">
        <f>((IF(N13=[1]Datos!$B$233,15,0))/100)+((IF(O13=[1]Datos!$B$229,5,0))/100)+((IF(P13=[1]Datos!$B$233,15,0))/100)+((IF(Q13=[1]Datos!$B$231,10,0))/100)+((IF(R13=[1]Datos!$B$233,15,0))/100)+((IF(S13=[1]Datos!$B$231,10,0))/100)+((IF(T13=[1]Datos!$B$235,30,0))/100)</f>
        <v>0</v>
      </c>
      <c r="V13" s="131"/>
      <c r="W13" s="128"/>
      <c r="X13" s="131"/>
      <c r="Y13" s="128"/>
      <c r="Z13" s="134"/>
      <c r="AA13" s="18"/>
      <c r="AB13" s="18"/>
      <c r="AC13" s="18"/>
      <c r="AD13" s="18"/>
      <c r="AE13" s="18"/>
      <c r="AF13" s="18"/>
      <c r="AG13" s="23"/>
      <c r="AH13" s="125"/>
      <c r="AI13" s="125"/>
      <c r="AJ13" s="125"/>
      <c r="AK13" s="125"/>
      <c r="AL13" s="125"/>
      <c r="AM13" s="125"/>
      <c r="AN13" s="125"/>
      <c r="AO13" s="125"/>
      <c r="AP13" s="125"/>
      <c r="AQ13" s="125"/>
    </row>
    <row r="14" spans="1:43" s="9" customFormat="1" ht="30" customHeight="1" x14ac:dyDescent="0.25">
      <c r="A14" s="152"/>
      <c r="B14" s="128"/>
      <c r="C14" s="155"/>
      <c r="D14" s="136"/>
      <c r="E14" s="136"/>
      <c r="F14" s="181"/>
      <c r="G14" s="158"/>
      <c r="H14" s="24"/>
      <c r="I14" s="149"/>
      <c r="J14" s="149"/>
      <c r="K14" s="134"/>
      <c r="L14" s="18"/>
      <c r="M14" s="19"/>
      <c r="N14" s="20"/>
      <c r="O14" s="20"/>
      <c r="P14" s="20"/>
      <c r="Q14" s="20"/>
      <c r="R14" s="20"/>
      <c r="S14" s="20"/>
      <c r="T14" s="20"/>
      <c r="U14" s="21">
        <f>((IF(N14=[1]Datos!$B$233,15,0))/100)+((IF(O14=[1]Datos!$B$229,5,0))/100)+((IF(P14=[1]Datos!$B$233,15,0))/100)+((IF(Q14=[1]Datos!$B$231,10,0))/100)+((IF(R14=[1]Datos!$B$233,15,0))/100)+((IF(S14=[1]Datos!$B$231,10,0))/100)+((IF(T14=[1]Datos!$B$235,30,0))/100)</f>
        <v>0</v>
      </c>
      <c r="V14" s="131"/>
      <c r="W14" s="128"/>
      <c r="X14" s="131"/>
      <c r="Y14" s="128"/>
      <c r="Z14" s="134"/>
      <c r="AA14" s="18"/>
      <c r="AB14" s="18"/>
      <c r="AC14" s="18"/>
      <c r="AD14" s="18"/>
      <c r="AE14" s="18"/>
      <c r="AF14" s="18"/>
      <c r="AG14" s="23"/>
      <c r="AH14" s="125"/>
      <c r="AI14" s="125"/>
      <c r="AJ14" s="125"/>
      <c r="AK14" s="125"/>
      <c r="AL14" s="125"/>
      <c r="AM14" s="125"/>
      <c r="AN14" s="125"/>
      <c r="AO14" s="125"/>
      <c r="AP14" s="125"/>
      <c r="AQ14" s="125"/>
    </row>
    <row r="15" spans="1:43" s="9" customFormat="1" ht="30" customHeight="1" thickBot="1" x14ac:dyDescent="0.3">
      <c r="A15" s="153"/>
      <c r="B15" s="129"/>
      <c r="C15" s="156"/>
      <c r="D15" s="137"/>
      <c r="E15" s="137"/>
      <c r="F15" s="186"/>
      <c r="G15" s="159"/>
      <c r="H15" s="25"/>
      <c r="I15" s="150"/>
      <c r="J15" s="150"/>
      <c r="K15" s="135"/>
      <c r="L15" s="26"/>
      <c r="M15" s="27"/>
      <c r="N15" s="28"/>
      <c r="O15" s="28"/>
      <c r="P15" s="28"/>
      <c r="Q15" s="28"/>
      <c r="R15" s="28"/>
      <c r="S15" s="28"/>
      <c r="T15" s="28"/>
      <c r="U15" s="29">
        <f>((IF(N15=[1]Datos!$B$233,15,0))/100)+((IF(O15=[1]Datos!$B$229,5,0))/100)+((IF(P15=[1]Datos!$B$233,15,0))/100)+((IF(Q15=[1]Datos!$B$231,10,0))/100)+((IF(R15=[1]Datos!$B$233,15,0))/100)+((IF(S15=[1]Datos!$B$231,10,0))/100)+((IF(T15=[1]Datos!$B$235,30,0))/100)</f>
        <v>0</v>
      </c>
      <c r="V15" s="132"/>
      <c r="W15" s="129"/>
      <c r="X15" s="132"/>
      <c r="Y15" s="129"/>
      <c r="Z15" s="135"/>
      <c r="AA15" s="26"/>
      <c r="AB15" s="26"/>
      <c r="AC15" s="26"/>
      <c r="AD15" s="26"/>
      <c r="AE15" s="26"/>
      <c r="AF15" s="26"/>
      <c r="AG15" s="30"/>
      <c r="AH15" s="125"/>
      <c r="AI15" s="125"/>
      <c r="AJ15" s="125"/>
      <c r="AK15" s="125"/>
      <c r="AL15" s="125"/>
      <c r="AM15" s="125"/>
      <c r="AN15" s="125"/>
      <c r="AO15" s="125"/>
      <c r="AP15" s="125"/>
      <c r="AQ15" s="125"/>
    </row>
    <row r="16" spans="1:43" s="9" customFormat="1" ht="86.25" customHeight="1" x14ac:dyDescent="0.25">
      <c r="A16" s="151" t="s">
        <v>530</v>
      </c>
      <c r="B16" s="127"/>
      <c r="C16" s="154" t="s">
        <v>536</v>
      </c>
      <c r="D16" s="200" t="s">
        <v>446</v>
      </c>
      <c r="E16" s="201"/>
      <c r="F16" s="185" t="s">
        <v>57</v>
      </c>
      <c r="G16" s="147" t="s">
        <v>58</v>
      </c>
      <c r="H16" s="10" t="s">
        <v>44</v>
      </c>
      <c r="I16" s="148" t="s">
        <v>45</v>
      </c>
      <c r="J16" s="148" t="s">
        <v>46</v>
      </c>
      <c r="K16" s="133" t="str">
        <f>IF(AND(I16=[1]Datos!$B$212,J16=[1]Datos!$B$219),[1]Datos!$D$216,IF(AND(I16=[1]Datos!$B$212,J16=[1]Datos!$B$220),[1]Datos!$E$216,IF(AND(I16=[1]Datos!$B$212,J16=[1]Datos!$B$221),[1]Datos!$F$216,IF(AND(I16=[1]Datos!$B$213,J16=[1]Datos!$B$219),[1]Datos!$D$215,IF(AND(I16=[1]Datos!$B$213,J16=[1]Datos!$B$220),[1]Datos!$E$215,IF(AND(I16=[1]Datos!$B$213,J16=[1]Datos!$B$221),[1]Datos!$F$215,IF(AND(I16=[1]Datos!$B$214,J16=[1]Datos!$B$219),[1]Datos!$D$214,IF(AND(I16=[1]Datos!$B$214,J16=[1]Datos!$B$220),[1]Datos!$E$214,IF(AND(I16=[1]Datos!$B$214,J16=[1]Datos!$B$221),[1]Datos!$F$214,IF(AND(I16=[1]Datos!$B$215,J16=[1]Datos!$B$219),[1]Datos!$D$213,IF(AND(I16=[1]Datos!$B$215,J16=[1]Datos!$B$220),[1]Datos!$E$213,IF(AND(I16=[1]Datos!$B$215,J16=[1]Datos!$B$221),[1]Datos!$F$213,IF(AND(I16=[1]Datos!$B$216,J16=[1]Datos!$B$219),[1]Datos!$D$212,IF(AND(I16=[1]Datos!$B$216,J16=[1]Datos!$B$220),[1]Datos!$E$212,IF(AND(I16=[1]Datos!$B$216,J16=[1]Datos!$B$221),[1]Datos!$F$212,"-")))))))))))))))</f>
        <v>EXTREMA 60</v>
      </c>
      <c r="L16" s="11" t="s">
        <v>59</v>
      </c>
      <c r="M16" s="12" t="s">
        <v>60</v>
      </c>
      <c r="N16" s="13" t="s">
        <v>48</v>
      </c>
      <c r="O16" s="13" t="s">
        <v>49</v>
      </c>
      <c r="P16" s="13" t="s">
        <v>50</v>
      </c>
      <c r="Q16" s="13" t="s">
        <v>51</v>
      </c>
      <c r="R16" s="13" t="s">
        <v>50</v>
      </c>
      <c r="S16" s="13" t="s">
        <v>51</v>
      </c>
      <c r="T16" s="13" t="s">
        <v>50</v>
      </c>
      <c r="U16" s="14">
        <f>((IF(N16=[1]Datos!$B$233,15,0))/100)+((IF(O16=[1]Datos!$B$229,5,0))/100)+((IF(P16=[1]Datos!$B$233,15,0))/100)+((IF(Q16=[1]Datos!$B$231,10,0))/100)+((IF(R16=[1]Datos!$B$233,15,0))/100)+((IF(S16=[1]Datos!$B$231,10,0))/100)+((IF(T16=[1]Datos!$B$235,30,0))/100)</f>
        <v>0.4</v>
      </c>
      <c r="V16" s="130">
        <f>IF(ISERROR(((IF(M16=[1]Datos!$B$224,U16,0))+(IF(M17=[1]Datos!$B$224,U17,0))+(IF(M18=[1]Datos!$B$224,U18,0))+(IF(M19=[1]Datos!$B$224,U19,0))+(IF(M20=[1]Datos!$B$224,U20,0))+(IF(M21=[1]Datos!$B$224,U21,0)))/((IF(M16=[1]Datos!$B$224,1,0))+(IF(M17=[1]Datos!$B$224,1,0))+(IF(M18=[1]Datos!$B$224,1,0))+(IF(M19=[1]Datos!$B$224,1,0))+(IF(M20=[1]Datos!$B$224,1,0))+(IF(M21=[1]Datos!$B$224,1,0)))),0,(((IF(M16=[1]Datos!$B$224,U16,0))+(IF(M17=[1]Datos!$B$224,U17,0))+(IF(M18=[1]Datos!$B$224,U18,0))+(IF(M19=[1]Datos!$B$224,U19,0))+(IF(M20=[1]Datos!$B$224,U20,0))+(IF(M21=[1]Datos!$B$224,U21,0)))/((IF(M16=[1]Datos!$B$224,1,0))+(IF(M17=[1]Datos!$B$224,1,0))+(IF(M18=[1]Datos!$B$224,1,0))+(IF(M19=[1]Datos!$B$224,1,0))+(IF(M20=[1]Datos!$B$224,1,0))+(IF(M21=[1]Datos!$B$224,1,0)))))</f>
        <v>0</v>
      </c>
      <c r="W16" s="127" t="str">
        <f>IF(I16="","-",(IF(V16&gt;0,(IF(I16=[1]Datos!$B$212,[1]Datos!$B$212,IF(AND(I16=[1]Datos!$B$213,V16&gt;0.49),[1]Datos!$B$212,IF(AND(I16=[1]Datos!$B$214,V16&gt;0.74),[1]Datos!$B$212,IF(AND(I16=[1]Datos!$B$214,V16&lt;0.75,V16&gt;0.49),[1]Datos!$B$213,IF(AND(I16=[1]Datos!$B$215,V16&gt;0.74),[1]Datos!$B$213,IF(AND(I16=[1]Datos!$B$215,V16&lt;0.75,V16&gt;0.49),[1]Datos!$B$214,IF(AND(I16=[1]Datos!$B$216,V16&gt;0.74),[1]Datos!$B$214,IF(AND(I16=[1]Datos!$B$216,V16&lt;0.75,V16&gt;0.49),[1]Datos!$B$215,I16))))))))),I16)))</f>
        <v>Posible - 3</v>
      </c>
      <c r="X16" s="130">
        <f>IF(ISERROR(((IF(M16=[1]Datos!$B$225,U16,0))+(IF(M17=[1]Datos!$B$225,U17,0))+(IF(M18=[1]Datos!$B$225,U18,0))+(IF(M19=[1]Datos!$B$225,U19,0))+(IF(M20=[1]Datos!$B$225,U20,0))+(IF(M21=[1]Datos!$B$225,U21,0))+(IF(M16=[1]Datos!$B$226,U16,0))+(IF(M17=[1]Datos!$B$226,U17,0))+(IF(M18=[1]Datos!$B$226,U18,0))+(IF(M19=[1]Datos!$B$226,U19,0))+(IF(M20=[1]Datos!$B$226,U20,0))+(IF(M21=[1]Datos!$B$226,U21,0)))/((IF(M16=[1]Datos!$B$225,1,0))+(IF(M17=[1]Datos!$B$225,1,0))+(IF(M18=[1]Datos!$B$225,1,0))+(IF(M19=[1]Datos!$B$225,1,0))+(IF(M20=[1]Datos!$B$225,1,0))+(IF(M21=[1]Datos!$B$225,1,0))+(IF(M16=[1]Datos!$B$226,1,0))+(IF(M17=[1]Datos!$B$226,1,0))+(IF(M18=[1]Datos!$B$226,1,0))+(IF(M19=[1]Datos!$B$226,1,0))+(IF(M20=[1]Datos!$B$226,1,0))+(IF(M21=[1]Datos!$B$226,1,0)))),0,((IF(M16=[1]Datos!$B$225,U16,0))+(IF(M17=[1]Datos!$B$225,U17,0))+(IF(M18=[1]Datos!$B$225,U18,0))+(IF(M19=[1]Datos!$B$225,U19,0))+(IF(M20=[1]Datos!$B$225,U20,0))+(IF(M21=[1]Datos!$B$225,U21,0))+(IF(M16=[1]Datos!$B$226,U16,0))+(IF(M17=[1]Datos!$B$226,U17,0))+(IF(M18=[1]Datos!$B$226,U18,0))+(IF(M19=[1]Datos!$B$226,U19,0))+(IF(M20=[1]Datos!$B$226,U20,0))+(IF(M21=[1]Datos!$B$226,U21,0)))/((IF(M16=[1]Datos!$B$225,1,0))+(IF(M17=[1]Datos!$B$225,1,0))+(IF(M18=[1]Datos!$B$225,1,0))+(IF(M19=[1]Datos!$B$225,1,0))+(IF(M20=[1]Datos!$B$225,1,0))+(IF(M21=[1]Datos!$B$225,1,0))+(IF(M16=[1]Datos!$B$226,1,0))+(IF(M17=[1]Datos!$B$226,1,0))+(IF(M18=[1]Datos!$B$226,1,0))+(IF(M19=[1]Datos!$B$226,1,0))+(IF(M20=[1]Datos!$B$226,1,0))+(IF(M21=[1]Datos!$B$226,1,0))))</f>
        <v>0.4</v>
      </c>
      <c r="Y16" s="127" t="str">
        <f>IF(J16="","-",(IF(X16&gt;0,(IF(J16=[1]Datos!$B$219,[1]Datos!$B$219,IF(AND(J16=[1]Datos!$B$220,X16&gt;0.49),[1]Datos!$B$219,IF(AND(J16=[1]Datos!$B$221,X16&gt;0.74),[1]Datos!$B$219,IF(AND(J16=[1]Datos!$B$221,X16&lt;0.75,X16&gt;0.49),[1]Datos!$B$220,IF(AND(J16=[1]Datos!$B$222,X16&gt;0.74),[1]Datos!$B$220,IF(AND(J16=[1]Datos!$B$222,X16&lt;0.75,X16&gt;0.49),[1]Datos!$B$221,IF(AND(J16=[1]Datos!$B$223,X16&gt;0.74),[1]Datos!$B$221,IF(AND(J16=[1]Datos!$B$223,X16&lt;0.75,X16&gt;0.49),[1]Datos!$B$222,J16))))))))),J16)))</f>
        <v>Catastrófico - 20</v>
      </c>
      <c r="Z16" s="133" t="str">
        <f>IF(AND(W16=[1]Datos!$B$212,Y16=[1]Datos!$B$219),[1]Datos!$D$216,IF(AND(W16=[1]Datos!$B$212,Y16=[1]Datos!$B$220),[1]Datos!$E$216,IF(AND(W16=[1]Datos!$B$212,Y16=[1]Datos!$B$221),[1]Datos!$F$216,IF(AND(W16=[1]Datos!$B$213,Y16=[1]Datos!$B$219),[1]Datos!$D$215,IF(AND(W16=[1]Datos!$B$213,Y16=[1]Datos!$B$220),[1]Datos!$E$215,IF(AND(W16=[1]Datos!$B$213,Y16=[1]Datos!$B$221),[1]Datos!$F$215,IF(AND(W16=[1]Datos!$B$214,Y16=[1]Datos!$B$219),[1]Datos!$D$214,IF(AND(W16=[1]Datos!$B$214,Y16=[1]Datos!$B$220),[1]Datos!$E$214,IF(AND(W16=[1]Datos!$B$214,Y16=[1]Datos!$B$221),[1]Datos!$F$214,IF(AND(W16=[1]Datos!$B$215,Y16=[1]Datos!$B$219),[1]Datos!$D$213,IF(AND(W16=[1]Datos!$B$215,Y16=[1]Datos!$B$220),[1]Datos!$E$213,IF(AND(W16=[1]Datos!$B$215,Y16=[1]Datos!$B$221),[1]Datos!$F$213,IF(AND(W16=[1]Datos!$B$216,Y16=[1]Datos!$B$219),[1]Datos!$D$212,IF(AND(W16=[1]Datos!$B$216,Y16=[1]Datos!$B$220),[1]Datos!$E$212,IF(AND(W16=[1]Datos!$B$216,Y16=[1]Datos!$B$221),[1]Datos!$F$212,"-")))))))))))))))</f>
        <v>EXTREMA 60</v>
      </c>
      <c r="AA16" s="11" t="s">
        <v>61</v>
      </c>
      <c r="AB16" s="15" t="s">
        <v>512</v>
      </c>
      <c r="AC16" s="11" t="s">
        <v>362</v>
      </c>
      <c r="AD16" s="11"/>
      <c r="AE16" s="11"/>
      <c r="AF16" s="11"/>
      <c r="AG16" s="16"/>
      <c r="AH16" s="125"/>
      <c r="AI16" s="125"/>
      <c r="AJ16" s="125"/>
      <c r="AK16" s="125"/>
      <c r="AL16" s="125"/>
      <c r="AM16" s="125"/>
      <c r="AN16" s="125"/>
      <c r="AO16" s="125"/>
      <c r="AP16" s="125"/>
      <c r="AQ16" s="125"/>
    </row>
    <row r="17" spans="1:43" s="9" customFormat="1" ht="46.5" customHeight="1" x14ac:dyDescent="0.25">
      <c r="A17" s="152"/>
      <c r="B17" s="128"/>
      <c r="C17" s="155"/>
      <c r="D17" s="192" t="s">
        <v>447</v>
      </c>
      <c r="E17" s="242"/>
      <c r="F17" s="181"/>
      <c r="G17" s="136"/>
      <c r="H17" s="24" t="s">
        <v>54</v>
      </c>
      <c r="I17" s="149"/>
      <c r="J17" s="149"/>
      <c r="K17" s="134"/>
      <c r="L17" s="18" t="s">
        <v>363</v>
      </c>
      <c r="M17" s="19" t="s">
        <v>60</v>
      </c>
      <c r="N17" s="20" t="s">
        <v>48</v>
      </c>
      <c r="O17" s="20" t="s">
        <v>49</v>
      </c>
      <c r="P17" s="20" t="s">
        <v>50</v>
      </c>
      <c r="Q17" s="20" t="s">
        <v>51</v>
      </c>
      <c r="R17" s="20" t="s">
        <v>50</v>
      </c>
      <c r="S17" s="20" t="s">
        <v>51</v>
      </c>
      <c r="T17" s="20" t="s">
        <v>50</v>
      </c>
      <c r="U17" s="21">
        <f>((IF(N17=[1]Datos!$B$233,15,0))/100)+((IF(O17=[1]Datos!$B$229,5,0))/100)+((IF(P17=[1]Datos!$B$233,15,0))/100)+((IF(Q17=[1]Datos!$B$231,10,0))/100)+((IF(R17=[1]Datos!$B$233,15,0))/100)+((IF(S17=[1]Datos!$B$231,10,0))/100)+((IF(T17=[1]Datos!$B$235,30,0))/100)</f>
        <v>0.4</v>
      </c>
      <c r="V17" s="131"/>
      <c r="W17" s="128"/>
      <c r="X17" s="131"/>
      <c r="Y17" s="128"/>
      <c r="Z17" s="134"/>
      <c r="AA17" s="18"/>
      <c r="AB17" s="22" t="s">
        <v>363</v>
      </c>
      <c r="AC17" s="18"/>
      <c r="AD17" s="18"/>
      <c r="AE17" s="18"/>
      <c r="AF17" s="18"/>
      <c r="AG17" s="23"/>
      <c r="AH17" s="125"/>
      <c r="AI17" s="125"/>
      <c r="AJ17" s="125"/>
      <c r="AK17" s="125"/>
      <c r="AL17" s="125"/>
      <c r="AM17" s="125"/>
      <c r="AN17" s="125"/>
      <c r="AO17" s="125"/>
      <c r="AP17" s="125"/>
      <c r="AQ17" s="125"/>
    </row>
    <row r="18" spans="1:43" s="9" customFormat="1" ht="69.75" customHeight="1" x14ac:dyDescent="0.25">
      <c r="A18" s="152"/>
      <c r="B18" s="128"/>
      <c r="C18" s="155"/>
      <c r="D18" s="192" t="s">
        <v>448</v>
      </c>
      <c r="E18" s="242"/>
      <c r="F18" s="181"/>
      <c r="G18" s="136"/>
      <c r="H18" s="24" t="s">
        <v>62</v>
      </c>
      <c r="I18" s="149"/>
      <c r="J18" s="149"/>
      <c r="K18" s="134"/>
      <c r="L18" s="18"/>
      <c r="M18" s="19"/>
      <c r="N18" s="20"/>
      <c r="O18" s="20"/>
      <c r="P18" s="20"/>
      <c r="Q18" s="20"/>
      <c r="R18" s="20"/>
      <c r="S18" s="20"/>
      <c r="T18" s="20"/>
      <c r="U18" s="21">
        <f>((IF(N18=[1]Datos!$B$233,15,0))/100)+((IF(O18=[1]Datos!$B$229,5,0))/100)+((IF(P18=[1]Datos!$B$233,15,0))/100)+((IF(Q18=[1]Datos!$B$231,10,0))/100)+((IF(R18=[1]Datos!$B$233,15,0))/100)+((IF(S18=[1]Datos!$B$231,10,0))/100)+((IF(T18=[1]Datos!$B$235,30,0))/100)</f>
        <v>0</v>
      </c>
      <c r="V18" s="131"/>
      <c r="W18" s="128"/>
      <c r="X18" s="131"/>
      <c r="Y18" s="128"/>
      <c r="Z18" s="134"/>
      <c r="AA18" s="18"/>
      <c r="AB18" s="18"/>
      <c r="AC18" s="18"/>
      <c r="AD18" s="18"/>
      <c r="AE18" s="18"/>
      <c r="AF18" s="18"/>
      <c r="AG18" s="23"/>
      <c r="AH18" s="125"/>
      <c r="AI18" s="125"/>
      <c r="AJ18" s="125"/>
      <c r="AK18" s="125"/>
      <c r="AL18" s="125"/>
      <c r="AM18" s="125"/>
      <c r="AN18" s="125"/>
      <c r="AO18" s="125"/>
      <c r="AP18" s="125"/>
      <c r="AQ18" s="125"/>
    </row>
    <row r="19" spans="1:43" s="9" customFormat="1" ht="30" customHeight="1" x14ac:dyDescent="0.25">
      <c r="A19" s="152"/>
      <c r="B19" s="128"/>
      <c r="C19" s="155"/>
      <c r="D19" s="136"/>
      <c r="E19" s="136"/>
      <c r="F19" s="181"/>
      <c r="G19" s="136"/>
      <c r="H19" s="24" t="s">
        <v>56</v>
      </c>
      <c r="I19" s="149"/>
      <c r="J19" s="149"/>
      <c r="K19" s="134"/>
      <c r="L19" s="18"/>
      <c r="M19" s="19"/>
      <c r="N19" s="20"/>
      <c r="O19" s="20"/>
      <c r="P19" s="20"/>
      <c r="Q19" s="20"/>
      <c r="R19" s="20"/>
      <c r="S19" s="20"/>
      <c r="T19" s="20"/>
      <c r="U19" s="21">
        <f>((IF(N19=[1]Datos!$B$233,15,0))/100)+((IF(O19=[1]Datos!$B$229,5,0))/100)+((IF(P19=[1]Datos!$B$233,15,0))/100)+((IF(Q19=[1]Datos!$B$231,10,0))/100)+((IF(R19=[1]Datos!$B$233,15,0))/100)+((IF(S19=[1]Datos!$B$231,10,0))/100)+((IF(T19=[1]Datos!$B$235,30,0))/100)</f>
        <v>0</v>
      </c>
      <c r="V19" s="131"/>
      <c r="W19" s="128"/>
      <c r="X19" s="131"/>
      <c r="Y19" s="128"/>
      <c r="Z19" s="134"/>
      <c r="AA19" s="18"/>
      <c r="AB19" s="18"/>
      <c r="AC19" s="18"/>
      <c r="AD19" s="18"/>
      <c r="AE19" s="18"/>
      <c r="AF19" s="18"/>
      <c r="AG19" s="23"/>
      <c r="AH19" s="125"/>
      <c r="AI19" s="125"/>
      <c r="AJ19" s="125"/>
      <c r="AK19" s="125"/>
      <c r="AL19" s="125"/>
      <c r="AM19" s="125"/>
      <c r="AN19" s="125"/>
      <c r="AO19" s="125"/>
      <c r="AP19" s="125"/>
      <c r="AQ19" s="125"/>
    </row>
    <row r="20" spans="1:43" s="9" customFormat="1" ht="30" customHeight="1" x14ac:dyDescent="0.25">
      <c r="A20" s="152"/>
      <c r="B20" s="128"/>
      <c r="C20" s="155"/>
      <c r="D20" s="136"/>
      <c r="E20" s="136"/>
      <c r="F20" s="181"/>
      <c r="G20" s="136"/>
      <c r="H20" s="24"/>
      <c r="I20" s="149"/>
      <c r="J20" s="149"/>
      <c r="K20" s="134"/>
      <c r="L20" s="18"/>
      <c r="M20" s="19"/>
      <c r="N20" s="20"/>
      <c r="O20" s="20"/>
      <c r="P20" s="20"/>
      <c r="Q20" s="20"/>
      <c r="R20" s="20"/>
      <c r="S20" s="20"/>
      <c r="T20" s="20"/>
      <c r="U20" s="21">
        <f>((IF(N20=[1]Datos!$B$233,15,0))/100)+((IF(O20=[1]Datos!$B$229,5,0))/100)+((IF(P20=[1]Datos!$B$233,15,0))/100)+((IF(Q20=[1]Datos!$B$231,10,0))/100)+((IF(R20=[1]Datos!$B$233,15,0))/100)+((IF(S20=[1]Datos!$B$231,10,0))/100)+((IF(T20=[1]Datos!$B$235,30,0))/100)</f>
        <v>0</v>
      </c>
      <c r="V20" s="131"/>
      <c r="W20" s="128"/>
      <c r="X20" s="131"/>
      <c r="Y20" s="128"/>
      <c r="Z20" s="134"/>
      <c r="AA20" s="18"/>
      <c r="AB20" s="18"/>
      <c r="AC20" s="18"/>
      <c r="AD20" s="18"/>
      <c r="AE20" s="18"/>
      <c r="AF20" s="18"/>
      <c r="AG20" s="23"/>
      <c r="AH20" s="125"/>
      <c r="AI20" s="125"/>
      <c r="AJ20" s="125"/>
      <c r="AK20" s="125"/>
      <c r="AL20" s="125"/>
      <c r="AM20" s="125"/>
      <c r="AN20" s="125"/>
      <c r="AO20" s="125"/>
      <c r="AP20" s="125"/>
      <c r="AQ20" s="125"/>
    </row>
    <row r="21" spans="1:43" s="9" customFormat="1" ht="30" customHeight="1" thickBot="1" x14ac:dyDescent="0.3">
      <c r="A21" s="153"/>
      <c r="B21" s="129"/>
      <c r="C21" s="156"/>
      <c r="D21" s="137"/>
      <c r="E21" s="137"/>
      <c r="F21" s="186"/>
      <c r="G21" s="137"/>
      <c r="H21" s="25"/>
      <c r="I21" s="150"/>
      <c r="J21" s="150"/>
      <c r="K21" s="135"/>
      <c r="L21" s="26"/>
      <c r="M21" s="27"/>
      <c r="N21" s="28"/>
      <c r="O21" s="28"/>
      <c r="P21" s="28"/>
      <c r="Q21" s="28"/>
      <c r="R21" s="28"/>
      <c r="S21" s="28"/>
      <c r="T21" s="28"/>
      <c r="U21" s="29">
        <f>((IF(N21=[1]Datos!$B$233,15,0))/100)+((IF(O21=[1]Datos!$B$229,5,0))/100)+((IF(P21=[1]Datos!$B$233,15,0))/100)+((IF(Q21=[1]Datos!$B$231,10,0))/100)+((IF(R21=[1]Datos!$B$233,15,0))/100)+((IF(S21=[1]Datos!$B$231,10,0))/100)+((IF(T21=[1]Datos!$B$235,30,0))/100)</f>
        <v>0</v>
      </c>
      <c r="V21" s="132"/>
      <c r="W21" s="129"/>
      <c r="X21" s="132"/>
      <c r="Y21" s="129"/>
      <c r="Z21" s="135"/>
      <c r="AA21" s="26"/>
      <c r="AB21" s="26"/>
      <c r="AC21" s="26"/>
      <c r="AD21" s="26"/>
      <c r="AE21" s="26"/>
      <c r="AF21" s="26"/>
      <c r="AG21" s="30"/>
      <c r="AH21" s="125"/>
      <c r="AI21" s="125"/>
      <c r="AJ21" s="125"/>
      <c r="AK21" s="125"/>
      <c r="AL21" s="125"/>
      <c r="AM21" s="125"/>
      <c r="AN21" s="125"/>
      <c r="AO21" s="125"/>
      <c r="AP21" s="125"/>
      <c r="AQ21" s="125"/>
    </row>
    <row r="22" spans="1:43" s="9" customFormat="1" ht="69" customHeight="1" x14ac:dyDescent="0.25">
      <c r="A22" s="151" t="s">
        <v>530</v>
      </c>
      <c r="B22" s="127"/>
      <c r="C22" s="154" t="s">
        <v>536</v>
      </c>
      <c r="D22" s="187" t="s">
        <v>449</v>
      </c>
      <c r="E22" s="238"/>
      <c r="F22" s="239" t="s">
        <v>384</v>
      </c>
      <c r="G22" s="169" t="s">
        <v>385</v>
      </c>
      <c r="H22" s="31" t="s">
        <v>63</v>
      </c>
      <c r="I22" s="148" t="s">
        <v>45</v>
      </c>
      <c r="J22" s="148" t="s">
        <v>46</v>
      </c>
      <c r="K22" s="133" t="str">
        <f>IF(AND(I22=[1]Datos!$B$212,J22=[1]Datos!$B$219),[1]Datos!$D$216,IF(AND(I22=[1]Datos!$B$212,J22=[1]Datos!$B$220),[1]Datos!$E$216,IF(AND(I22=[1]Datos!$B$212,J22=[1]Datos!$B$221),[1]Datos!$F$216,IF(AND(I22=[1]Datos!$B$213,J22=[1]Datos!$B$219),[1]Datos!$D$215,IF(AND(I22=[1]Datos!$B$213,J22=[1]Datos!$B$220),[1]Datos!$E$215,IF(AND(I22=[1]Datos!$B$213,J22=[1]Datos!$B$221),[1]Datos!$F$215,IF(AND(I22=[1]Datos!$B$214,J22=[1]Datos!$B$219),[1]Datos!$D$214,IF(AND(I22=[1]Datos!$B$214,J22=[1]Datos!$B$220),[1]Datos!$E$214,IF(AND(I22=[1]Datos!$B$214,J22=[1]Datos!$B$221),[1]Datos!$F$214,IF(AND(I22=[1]Datos!$B$215,J22=[1]Datos!$B$219),[1]Datos!$D$213,IF(AND(I22=[1]Datos!$B$215,J22=[1]Datos!$B$220),[1]Datos!$E$213,IF(AND(I22=[1]Datos!$B$215,J22=[1]Datos!$B$221),[1]Datos!$F$213,IF(AND(I22=[1]Datos!$B$216,J22=[1]Datos!$B$219),[1]Datos!$D$212,IF(AND(I22=[1]Datos!$B$216,J22=[1]Datos!$B$220),[1]Datos!$E$212,IF(AND(I22=[1]Datos!$B$216,J22=[1]Datos!$B$221),[1]Datos!$F$212,"-")))))))))))))))</f>
        <v>EXTREMA 60</v>
      </c>
      <c r="L22" s="11" t="s">
        <v>379</v>
      </c>
      <c r="M22" s="12" t="s">
        <v>47</v>
      </c>
      <c r="N22" s="13" t="s">
        <v>48</v>
      </c>
      <c r="O22" s="13" t="s">
        <v>49</v>
      </c>
      <c r="P22" s="13" t="s">
        <v>50</v>
      </c>
      <c r="Q22" s="13" t="s">
        <v>51</v>
      </c>
      <c r="R22" s="13" t="s">
        <v>50</v>
      </c>
      <c r="S22" s="13" t="s">
        <v>50</v>
      </c>
      <c r="T22" s="13" t="s">
        <v>50</v>
      </c>
      <c r="U22" s="14">
        <f>((IF(N22=[1]Datos!$B$233,15,0))/100)+((IF(O22=[1]Datos!$B$229,5,0))/100)+((IF(P22=[1]Datos!$B$233,15,0))/100)+((IF(Q22=[1]Datos!$B$231,10,0))/100)+((IF(R22=[1]Datos!$B$233,15,0))/100)+((IF(S22=[1]Datos!$B$231,10,0))/100)+((IF(T22=[1]Datos!$B$235,30,0))/100)</f>
        <v>0.30000000000000004</v>
      </c>
      <c r="V22" s="130">
        <f>IF(ISERROR(((IF(M22=[1]Datos!$B$224,U22,0))+(IF(M23=[1]Datos!$B$224,U23,0))+(IF(M24=[1]Datos!$B$224,U24,0))+(IF(M25=[1]Datos!$B$224,U25,0))+(IF(M26=[1]Datos!$B$224,U26,0))+(IF(M27=[1]Datos!$B$224,U27,0)))/((IF(M22=[1]Datos!$B$224,1,0))+(IF(M23=[1]Datos!$B$224,1,0))+(IF(M24=[1]Datos!$B$224,1,0))+(IF(M25=[1]Datos!$B$224,1,0))+(IF(M26=[1]Datos!$B$224,1,0))+(IF(M27=[1]Datos!$B$224,1,0)))),0,(((IF(M22=[1]Datos!$B$224,U22,0))+(IF(M23=[1]Datos!$B$224,U23,0))+(IF(M24=[1]Datos!$B$224,U24,0))+(IF(M25=[1]Datos!$B$224,U25,0))+(IF(M26=[1]Datos!$B$224,U26,0))+(IF(M27=[1]Datos!$B$224,U27,0)))/((IF(M22=[1]Datos!$B$224,1,0))+(IF(M23=[1]Datos!$B$224,1,0))+(IF(M24=[1]Datos!$B$224,1,0))+(IF(M25=[1]Datos!$B$224,1,0))+(IF(M26=[1]Datos!$B$224,1,0))+(IF(M27=[1]Datos!$B$224,1,0)))))</f>
        <v>0.57500000000000007</v>
      </c>
      <c r="W22" s="127" t="str">
        <f>IF(I22="","-",(IF(V22&gt;0,(IF(I22=[1]Datos!$B$212,[1]Datos!$B$212,IF(AND(I22=[1]Datos!$B$213,V22&gt;0.49),[1]Datos!$B$212,IF(AND(I22=[1]Datos!$B$214,V22&gt;0.74),[1]Datos!$B$212,IF(AND(I22=[1]Datos!$B$214,V22&lt;0.75,V22&gt;0.49),[1]Datos!$B$213,IF(AND(I22=[1]Datos!$B$215,V22&gt;0.74),[1]Datos!$B$213,IF(AND(I22=[1]Datos!$B$215,V22&lt;0.75,V22&gt;0.49),[1]Datos!$B$214,IF(AND(I22=[1]Datos!$B$216,V22&gt;0.74),[1]Datos!$B$214,IF(AND(I22=[1]Datos!$B$216,V22&lt;0.75,V22&gt;0.49),[1]Datos!$B$215,I22))))))))),I22)))</f>
        <v>Improbable - 2</v>
      </c>
      <c r="X22" s="130">
        <f>IF(ISERROR(((IF(M22=[1]Datos!$B$225,U22,0))+(IF(M23=[1]Datos!$B$225,U23,0))+(IF(M24=[1]Datos!$B$225,U24,0))+(IF(M25=[1]Datos!$B$225,U25,0))+(IF(M26=[1]Datos!$B$225,U26,0))+(IF(M27=[1]Datos!$B$225,U27,0))+(IF(M22=[1]Datos!$B$226,U22,0))+(IF(M23=[1]Datos!$B$226,U23,0))+(IF(M24=[1]Datos!$B$226,U24,0))+(IF(M25=[1]Datos!$B$226,U25,0))+(IF(M26=[1]Datos!$B$226,U26,0))+(IF(M27=[1]Datos!$B$226,U27,0)))/((IF(M22=[1]Datos!$B$225,1,0))+(IF(M23=[1]Datos!$B$225,1,0))+(IF(M24=[1]Datos!$B$225,1,0))+(IF(M25=[1]Datos!$B$225,1,0))+(IF(M26=[1]Datos!$B$225,1,0))+(IF(M27=[1]Datos!$B$225,1,0))+(IF(M22=[1]Datos!$B$226,1,0))+(IF(M23=[1]Datos!$B$226,1,0))+(IF(M24=[1]Datos!$B$226,1,0))+(IF(M25=[1]Datos!$B$226,1,0))+(IF(M26=[1]Datos!$B$226,1,0))+(IF(M27=[1]Datos!$B$226,1,0)))),0,((IF(M22=[1]Datos!$B$225,U22,0))+(IF(M23=[1]Datos!$B$225,U23,0))+(IF(M24=[1]Datos!$B$225,U24,0))+(IF(M25=[1]Datos!$B$225,U25,0))+(IF(M26=[1]Datos!$B$225,U26,0))+(IF(M27=[1]Datos!$B$225,U27,0))+(IF(M22=[1]Datos!$B$226,U22,0))+(IF(M23=[1]Datos!$B$226,U23,0))+(IF(M24=[1]Datos!$B$226,U24,0))+(IF(M25=[1]Datos!$B$226,U25,0))+(IF(M26=[1]Datos!$B$226,U26,0))+(IF(M27=[1]Datos!$B$226,U27,0)))/((IF(M22=[1]Datos!$B$225,1,0))+(IF(M23=[1]Datos!$B$225,1,0))+(IF(M24=[1]Datos!$B$225,1,0))+(IF(M25=[1]Datos!$B$225,1,0))+(IF(M26=[1]Datos!$B$225,1,0))+(IF(M27=[1]Datos!$B$225,1,0))+(IF(M22=[1]Datos!$B$226,1,0))+(IF(M23=[1]Datos!$B$226,1,0))+(IF(M24=[1]Datos!$B$226,1,0))+(IF(M25=[1]Datos!$B$226,1,0))+(IF(M26=[1]Datos!$B$226,1,0))+(IF(M27=[1]Datos!$B$226,1,0))))</f>
        <v>0</v>
      </c>
      <c r="Y22" s="127" t="str">
        <f>IF(J22="","-",(IF(X22&gt;0,(IF(J22=[1]Datos!$B$219,[1]Datos!$B$219,IF(AND(J22=[1]Datos!$B$220,X22&gt;0.49),[1]Datos!$B$219,IF(AND(J22=[1]Datos!$B$221,X22&gt;0.74),[1]Datos!$B$219,IF(AND(J22=[1]Datos!$B$221,X22&lt;0.75,X22&gt;0.49),[1]Datos!$B$220,IF(AND(J22=[1]Datos!$B$222,X22&gt;0.74),[1]Datos!$B$220,IF(AND(J22=[1]Datos!$B$222,X22&lt;0.75,X22&gt;0.49),[1]Datos!$B$221,IF(AND(J22=[1]Datos!$B$223,X22&gt;0.74),[1]Datos!$B$221,IF(AND(J22=[1]Datos!$B$223,X22&lt;0.75,X22&gt;0.49),[1]Datos!$B$222,J22))))))))),J22)))</f>
        <v>Catastrófico - 20</v>
      </c>
      <c r="Z22" s="133" t="str">
        <f>IF(AND(W22=[1]Datos!$B$212,Y22=[1]Datos!$B$219),[1]Datos!$D$216,IF(AND(W22=[1]Datos!$B$212,Y22=[1]Datos!$B$220),[1]Datos!$E$216,IF(AND(W22=[1]Datos!$B$212,Y22=[1]Datos!$B$221),[1]Datos!$F$216,IF(AND(W22=[1]Datos!$B$213,Y22=[1]Datos!$B$219),[1]Datos!$D$215,IF(AND(W22=[1]Datos!$B$213,Y22=[1]Datos!$B$220),[1]Datos!$E$215,IF(AND(W22=[1]Datos!$B$213,Y22=[1]Datos!$B$221),[1]Datos!$F$215,IF(AND(W22=[1]Datos!$B$214,Y22=[1]Datos!$B$219),[1]Datos!$D$214,IF(AND(W22=[1]Datos!$B$214,Y22=[1]Datos!$B$220),[1]Datos!$E$214,IF(AND(W22=[1]Datos!$B$214,Y22=[1]Datos!$B$221),[1]Datos!$F$214,IF(AND(W22=[1]Datos!$B$215,Y22=[1]Datos!$B$219),[1]Datos!$D$213,IF(AND(W22=[1]Datos!$B$215,Y22=[1]Datos!$B$220),[1]Datos!$E$213,IF(AND(W22=[1]Datos!$B$215,Y22=[1]Datos!$B$221),[1]Datos!$F$213,IF(AND(W22=[1]Datos!$B$216,Y22=[1]Datos!$B$219),[1]Datos!$D$212,IF(AND(W22=[1]Datos!$B$216,Y22=[1]Datos!$B$220),[1]Datos!$E$212,IF(AND(W22=[1]Datos!$B$216,Y22=[1]Datos!$B$221),[1]Datos!$F$212,"-")))))))))))))))</f>
        <v>ALTA 40</v>
      </c>
      <c r="AA22" s="61" t="s">
        <v>364</v>
      </c>
      <c r="AB22" s="33" t="s">
        <v>513</v>
      </c>
      <c r="AC22" s="32" t="s">
        <v>64</v>
      </c>
      <c r="AD22" s="11"/>
      <c r="AE22" s="11"/>
      <c r="AF22" s="11"/>
      <c r="AG22" s="16"/>
      <c r="AH22" s="125"/>
      <c r="AI22" s="125"/>
      <c r="AJ22" s="125"/>
      <c r="AK22" s="125"/>
      <c r="AL22" s="125"/>
      <c r="AM22" s="125"/>
      <c r="AN22" s="125"/>
      <c r="AO22" s="125"/>
      <c r="AP22" s="125"/>
      <c r="AQ22" s="125"/>
    </row>
    <row r="23" spans="1:43" s="9" customFormat="1" ht="50.25" customHeight="1" x14ac:dyDescent="0.25">
      <c r="A23" s="152"/>
      <c r="B23" s="128"/>
      <c r="C23" s="155"/>
      <c r="D23" s="181" t="s">
        <v>450</v>
      </c>
      <c r="E23" s="181"/>
      <c r="F23" s="240"/>
      <c r="G23" s="170"/>
      <c r="H23" s="17" t="s">
        <v>55</v>
      </c>
      <c r="I23" s="149"/>
      <c r="J23" s="149"/>
      <c r="K23" s="134"/>
      <c r="L23" s="18" t="s">
        <v>371</v>
      </c>
      <c r="M23" s="19" t="s">
        <v>47</v>
      </c>
      <c r="N23" s="20" t="s">
        <v>48</v>
      </c>
      <c r="O23" s="20" t="s">
        <v>49</v>
      </c>
      <c r="P23" s="20" t="s">
        <v>50</v>
      </c>
      <c r="Q23" s="20" t="s">
        <v>51</v>
      </c>
      <c r="R23" s="20" t="s">
        <v>48</v>
      </c>
      <c r="S23" s="20" t="s">
        <v>51</v>
      </c>
      <c r="T23" s="20" t="s">
        <v>52</v>
      </c>
      <c r="U23" s="21">
        <f>((IF(N23=[1]Datos!$B$233,15,0))/100)+((IF(O23=[1]Datos!$B$229,5,0))/100)+((IF(P23=[1]Datos!$B$233,15,0))/100)+((IF(Q23=[1]Datos!$B$231,10,0))/100)+((IF(R23=[1]Datos!$B$233,15,0))/100)+((IF(S23=[1]Datos!$B$231,10,0))/100)+((IF(T23=[1]Datos!$B$235,30,0))/100)</f>
        <v>0.85000000000000009</v>
      </c>
      <c r="V23" s="131"/>
      <c r="W23" s="128"/>
      <c r="X23" s="131"/>
      <c r="Y23" s="128"/>
      <c r="Z23" s="134"/>
      <c r="AA23" s="60" t="s">
        <v>364</v>
      </c>
      <c r="AB23" s="22" t="s">
        <v>514</v>
      </c>
      <c r="AC23" s="18" t="s">
        <v>64</v>
      </c>
      <c r="AD23" s="18"/>
      <c r="AE23" s="18"/>
      <c r="AF23" s="18"/>
      <c r="AG23" s="23"/>
      <c r="AH23" s="125"/>
      <c r="AI23" s="125"/>
      <c r="AJ23" s="125"/>
      <c r="AK23" s="125"/>
      <c r="AL23" s="125"/>
      <c r="AM23" s="125"/>
      <c r="AN23" s="125"/>
      <c r="AO23" s="125"/>
      <c r="AP23" s="125"/>
      <c r="AQ23" s="125"/>
    </row>
    <row r="24" spans="1:43" s="9" customFormat="1" ht="96.75" customHeight="1" x14ac:dyDescent="0.25">
      <c r="A24" s="152"/>
      <c r="B24" s="128"/>
      <c r="C24" s="155"/>
      <c r="D24" s="136"/>
      <c r="E24" s="136"/>
      <c r="F24" s="240"/>
      <c r="G24" s="170"/>
      <c r="H24" s="24" t="s">
        <v>56</v>
      </c>
      <c r="I24" s="149"/>
      <c r="J24" s="149"/>
      <c r="K24" s="134"/>
      <c r="L24" s="18"/>
      <c r="M24" s="19"/>
      <c r="N24" s="20"/>
      <c r="O24" s="20"/>
      <c r="P24" s="20"/>
      <c r="Q24" s="20"/>
      <c r="R24" s="20"/>
      <c r="S24" s="20"/>
      <c r="T24" s="20"/>
      <c r="U24" s="21">
        <f>((IF(N24=[1]Datos!$B$233,15,0))/100)+((IF(O24=[1]Datos!$B$229,5,0))/100)+((IF(P24=[1]Datos!$B$233,15,0))/100)+((IF(Q24=[1]Datos!$B$231,10,0))/100)+((IF(R24=[1]Datos!$B$233,15,0))/100)+((IF(S24=[1]Datos!$B$231,10,0))/100)+((IF(T24=[1]Datos!$B$235,30,0))/100)</f>
        <v>0</v>
      </c>
      <c r="V24" s="131"/>
      <c r="W24" s="128"/>
      <c r="X24" s="131"/>
      <c r="Y24" s="128"/>
      <c r="Z24" s="134"/>
      <c r="AA24" s="60" t="s">
        <v>365</v>
      </c>
      <c r="AB24" s="18" t="s">
        <v>515</v>
      </c>
      <c r="AC24" s="18" t="s">
        <v>366</v>
      </c>
      <c r="AD24" s="18"/>
      <c r="AE24" s="18"/>
      <c r="AF24" s="18"/>
      <c r="AG24" s="23"/>
      <c r="AH24" s="125"/>
      <c r="AI24" s="125"/>
      <c r="AJ24" s="125"/>
      <c r="AK24" s="125"/>
      <c r="AL24" s="125"/>
      <c r="AM24" s="125"/>
      <c r="AN24" s="125"/>
      <c r="AO24" s="125"/>
      <c r="AP24" s="125"/>
      <c r="AQ24" s="125"/>
    </row>
    <row r="25" spans="1:43" s="9" customFormat="1" ht="30" customHeight="1" x14ac:dyDescent="0.25">
      <c r="A25" s="152"/>
      <c r="B25" s="128"/>
      <c r="C25" s="155"/>
      <c r="D25" s="136"/>
      <c r="E25" s="136"/>
      <c r="F25" s="240"/>
      <c r="G25" s="170"/>
      <c r="H25" s="24"/>
      <c r="I25" s="149"/>
      <c r="J25" s="149"/>
      <c r="K25" s="134"/>
      <c r="L25" s="18"/>
      <c r="M25" s="19"/>
      <c r="N25" s="20"/>
      <c r="O25" s="20"/>
      <c r="P25" s="20"/>
      <c r="Q25" s="20"/>
      <c r="R25" s="20"/>
      <c r="S25" s="20"/>
      <c r="T25" s="20"/>
      <c r="U25" s="21">
        <f>((IF(N25=[1]Datos!$B$233,15,0))/100)+((IF(O25=[1]Datos!$B$229,5,0))/100)+((IF(P25=[1]Datos!$B$233,15,0))/100)+((IF(Q25=[1]Datos!$B$231,10,0))/100)+((IF(R25=[1]Datos!$B$233,15,0))/100)+((IF(S25=[1]Datos!$B$231,10,0))/100)+((IF(T25=[1]Datos!$B$235,30,0))/100)</f>
        <v>0</v>
      </c>
      <c r="V25" s="131"/>
      <c r="W25" s="128"/>
      <c r="X25" s="131"/>
      <c r="Y25" s="128"/>
      <c r="Z25" s="134"/>
      <c r="AA25" s="20"/>
      <c r="AB25" s="18"/>
      <c r="AC25" s="18"/>
      <c r="AD25" s="18"/>
      <c r="AE25" s="18"/>
      <c r="AF25" s="18"/>
      <c r="AG25" s="23"/>
      <c r="AH25" s="125"/>
      <c r="AI25" s="125"/>
      <c r="AJ25" s="125"/>
      <c r="AK25" s="125"/>
      <c r="AL25" s="125"/>
      <c r="AM25" s="125"/>
      <c r="AN25" s="125"/>
      <c r="AO25" s="125"/>
      <c r="AP25" s="125"/>
      <c r="AQ25" s="125"/>
    </row>
    <row r="26" spans="1:43" s="9" customFormat="1" ht="30" customHeight="1" x14ac:dyDescent="0.25">
      <c r="A26" s="152"/>
      <c r="B26" s="128"/>
      <c r="C26" s="155"/>
      <c r="D26" s="136"/>
      <c r="E26" s="136"/>
      <c r="F26" s="240"/>
      <c r="G26" s="170"/>
      <c r="H26" s="24"/>
      <c r="I26" s="149"/>
      <c r="J26" s="149"/>
      <c r="K26" s="134"/>
      <c r="L26" s="18"/>
      <c r="M26" s="19"/>
      <c r="N26" s="20"/>
      <c r="O26" s="20"/>
      <c r="P26" s="20"/>
      <c r="Q26" s="20"/>
      <c r="R26" s="20"/>
      <c r="S26" s="20"/>
      <c r="T26" s="20"/>
      <c r="U26" s="21">
        <f>((IF(N26=[1]Datos!$B$233,15,0))/100)+((IF(O26=[1]Datos!$B$229,5,0))/100)+((IF(P26=[1]Datos!$B$233,15,0))/100)+((IF(Q26=[1]Datos!$B$231,10,0))/100)+((IF(R26=[1]Datos!$B$233,15,0))/100)+((IF(S26=[1]Datos!$B$231,10,0))/100)+((IF(T26=[1]Datos!$B$235,30,0))/100)</f>
        <v>0</v>
      </c>
      <c r="V26" s="131"/>
      <c r="W26" s="128"/>
      <c r="X26" s="131"/>
      <c r="Y26" s="128"/>
      <c r="Z26" s="134"/>
      <c r="AA26" s="18"/>
      <c r="AB26" s="18"/>
      <c r="AC26" s="18"/>
      <c r="AD26" s="18"/>
      <c r="AE26" s="18"/>
      <c r="AF26" s="18"/>
      <c r="AG26" s="23"/>
      <c r="AH26" s="125"/>
      <c r="AI26" s="125"/>
      <c r="AJ26" s="125"/>
      <c r="AK26" s="125"/>
      <c r="AL26" s="125"/>
      <c r="AM26" s="125"/>
      <c r="AN26" s="125"/>
      <c r="AO26" s="125"/>
      <c r="AP26" s="125"/>
      <c r="AQ26" s="125"/>
    </row>
    <row r="27" spans="1:43" s="9" customFormat="1" ht="30" customHeight="1" thickBot="1" x14ac:dyDescent="0.3">
      <c r="A27" s="153"/>
      <c r="B27" s="129"/>
      <c r="C27" s="156"/>
      <c r="D27" s="137"/>
      <c r="E27" s="137"/>
      <c r="F27" s="241"/>
      <c r="G27" s="171"/>
      <c r="H27" s="25"/>
      <c r="I27" s="150"/>
      <c r="J27" s="150"/>
      <c r="K27" s="135"/>
      <c r="L27" s="26"/>
      <c r="M27" s="27"/>
      <c r="N27" s="28"/>
      <c r="O27" s="28"/>
      <c r="P27" s="28"/>
      <c r="Q27" s="28"/>
      <c r="R27" s="28"/>
      <c r="S27" s="28"/>
      <c r="T27" s="28"/>
      <c r="U27" s="29">
        <f>((IF(N27=[1]Datos!$B$233,15,0))/100)+((IF(O27=[1]Datos!$B$229,5,0))/100)+((IF(P27=[1]Datos!$B$233,15,0))/100)+((IF(Q27=[1]Datos!$B$231,10,0))/100)+((IF(R27=[1]Datos!$B$233,15,0))/100)+((IF(S27=[1]Datos!$B$231,10,0))/100)+((IF(T27=[1]Datos!$B$235,30,0))/100)</f>
        <v>0</v>
      </c>
      <c r="V27" s="132"/>
      <c r="W27" s="129"/>
      <c r="X27" s="132"/>
      <c r="Y27" s="129"/>
      <c r="Z27" s="135"/>
      <c r="AA27" s="26"/>
      <c r="AB27" s="26"/>
      <c r="AC27" s="26"/>
      <c r="AD27" s="26"/>
      <c r="AE27" s="26"/>
      <c r="AF27" s="26"/>
      <c r="AG27" s="30"/>
      <c r="AH27" s="125"/>
      <c r="AI27" s="125"/>
      <c r="AJ27" s="125"/>
      <c r="AK27" s="125"/>
      <c r="AL27" s="125"/>
      <c r="AM27" s="125"/>
      <c r="AN27" s="125"/>
      <c r="AO27" s="125"/>
      <c r="AP27" s="125"/>
      <c r="AQ27" s="125"/>
    </row>
    <row r="28" spans="1:43" s="9" customFormat="1" ht="63" customHeight="1" x14ac:dyDescent="0.25">
      <c r="A28" s="151" t="s">
        <v>530</v>
      </c>
      <c r="B28" s="127"/>
      <c r="C28" s="154" t="s">
        <v>536</v>
      </c>
      <c r="D28" s="183" t="s">
        <v>451</v>
      </c>
      <c r="E28" s="184"/>
      <c r="F28" s="185" t="s">
        <v>65</v>
      </c>
      <c r="G28" s="235" t="s">
        <v>386</v>
      </c>
      <c r="H28" s="31" t="s">
        <v>66</v>
      </c>
      <c r="I28" s="148" t="s">
        <v>45</v>
      </c>
      <c r="J28" s="148" t="s">
        <v>46</v>
      </c>
      <c r="K28" s="133" t="str">
        <f>IF(AND(I28=[1]Datos!$B$212,J28=[1]Datos!$B$219),[1]Datos!$D$216,IF(AND(I28=[1]Datos!$B$212,J28=[1]Datos!$B$220),[1]Datos!$E$216,IF(AND(I28=[1]Datos!$B$212,J28=[1]Datos!$B$221),[1]Datos!$F$216,IF(AND(I28=[1]Datos!$B$213,J28=[1]Datos!$B$219),[1]Datos!$D$215,IF(AND(I28=[1]Datos!$B$213,J28=[1]Datos!$B$220),[1]Datos!$E$215,IF(AND(I28=[1]Datos!$B$213,J28=[1]Datos!$B$221),[1]Datos!$F$215,IF(AND(I28=[1]Datos!$B$214,J28=[1]Datos!$B$219),[1]Datos!$D$214,IF(AND(I28=[1]Datos!$B$214,J28=[1]Datos!$B$220),[1]Datos!$E$214,IF(AND(I28=[1]Datos!$B$214,J28=[1]Datos!$B$221),[1]Datos!$F$214,IF(AND(I28=[1]Datos!$B$215,J28=[1]Datos!$B$219),[1]Datos!$D$213,IF(AND(I28=[1]Datos!$B$215,J28=[1]Datos!$B$220),[1]Datos!$E$213,IF(AND(I28=[1]Datos!$B$215,J28=[1]Datos!$B$221),[1]Datos!$F$213,IF(AND(I28=[1]Datos!$B$216,J28=[1]Datos!$B$219),[1]Datos!$D$212,IF(AND(I28=[1]Datos!$B$216,J28=[1]Datos!$B$220),[1]Datos!$E$212,IF(AND(I28=[1]Datos!$B$216,J28=[1]Datos!$B$221),[1]Datos!$F$212,"-")))))))))))))))</f>
        <v>EXTREMA 60</v>
      </c>
      <c r="L28" s="11" t="s">
        <v>67</v>
      </c>
      <c r="M28" s="12" t="s">
        <v>47</v>
      </c>
      <c r="N28" s="13" t="s">
        <v>50</v>
      </c>
      <c r="O28" s="13" t="s">
        <v>50</v>
      </c>
      <c r="P28" s="13" t="s">
        <v>50</v>
      </c>
      <c r="Q28" s="13" t="s">
        <v>51</v>
      </c>
      <c r="R28" s="13" t="s">
        <v>50</v>
      </c>
      <c r="S28" s="13" t="s">
        <v>50</v>
      </c>
      <c r="T28" s="13" t="s">
        <v>50</v>
      </c>
      <c r="U28" s="14">
        <f>((IF(N28=[1]Datos!$B$233,15,0))/100)+((IF(O28=[1]Datos!$B$229,5,0))/100)+((IF(P28=[1]Datos!$B$233,15,0))/100)+((IF(Q28=[1]Datos!$B$231,10,0))/100)+((IF(R28=[1]Datos!$B$233,15,0))/100)+((IF(S28=[1]Datos!$B$231,10,0))/100)+((IF(T28=[1]Datos!$B$235,30,0))/100)</f>
        <v>0.1</v>
      </c>
      <c r="V28" s="130">
        <f>IF(ISERROR(((IF(M28=[1]Datos!$B$224,U28,0))+(IF(M29=[1]Datos!$B$224,U29,0))+(IF(M30=[1]Datos!$B$224,U30,0))+(IF(M31=[1]Datos!$B$224,U31,0))+(IF(M32=[1]Datos!$B$224,U32,0))+(IF(M33=[1]Datos!$B$224,U33,0)))/((IF(M28=[1]Datos!$B$224,1,0))+(IF(M29=[1]Datos!$B$224,1,0))+(IF(M30=[1]Datos!$B$224,1,0))+(IF(M31=[1]Datos!$B$224,1,0))+(IF(M32=[1]Datos!$B$224,1,0))+(IF(M33=[1]Datos!$B$224,1,0)))),0,(((IF(M28=[1]Datos!$B$224,U28,0))+(IF(M29=[1]Datos!$B$224,U29,0))+(IF(M30=[1]Datos!$B$224,U30,0))+(IF(M31=[1]Datos!$B$224,U31,0))+(IF(M32=[1]Datos!$B$224,U32,0))+(IF(M33=[1]Datos!$B$224,U33,0)))/((IF(M28=[1]Datos!$B$224,1,0))+(IF(M29=[1]Datos!$B$224,1,0))+(IF(M30=[1]Datos!$B$224,1,0))+(IF(M31=[1]Datos!$B$224,1,0))+(IF(M32=[1]Datos!$B$224,1,0))+(IF(M33=[1]Datos!$B$224,1,0)))))</f>
        <v>0.49999999999999994</v>
      </c>
      <c r="W28" s="127" t="str">
        <f>IF(I28="","-",(IF(V28&gt;0,(IF(I28=[1]Datos!$B$212,[1]Datos!$B$212,IF(AND(I28=[1]Datos!$B$213,V28&gt;0.49),[1]Datos!$B$212,IF(AND(I28=[1]Datos!$B$214,V28&gt;0.74),[1]Datos!$B$212,IF(AND(I28=[1]Datos!$B$214,V28&lt;0.75,V28&gt;0.49),[1]Datos!$B$213,IF(AND(I28=[1]Datos!$B$215,V28&gt;0.74),[1]Datos!$B$213,IF(AND(I28=[1]Datos!$B$215,V28&lt;0.75,V28&gt;0.49),[1]Datos!$B$214,IF(AND(I28=[1]Datos!$B$216,V28&gt;0.74),[1]Datos!$B$214,IF(AND(I28=[1]Datos!$B$216,V28&lt;0.75,V28&gt;0.49),[1]Datos!$B$215,I28))))))))),I28)))</f>
        <v>Improbable - 2</v>
      </c>
      <c r="X28" s="130">
        <f>IF(ISERROR(((IF(M28=[1]Datos!$B$225,U28,0))+(IF(M29=[1]Datos!$B$225,U29,0))+(IF(M30=[1]Datos!$B$225,U30,0))+(IF(M31=[1]Datos!$B$225,U31,0))+(IF(M32=[1]Datos!$B$225,U32,0))+(IF(M33=[1]Datos!$B$225,U33,0))+(IF(M28=[1]Datos!$B$226,U28,0))+(IF(M29=[1]Datos!$B$226,U29,0))+(IF(M30=[1]Datos!$B$226,U30,0))+(IF(M31=[1]Datos!$B$226,U31,0))+(IF(M32=[1]Datos!$B$226,U32,0))+(IF(M33=[1]Datos!$B$226,U33,0)))/((IF(M28=[1]Datos!$B$225,1,0))+(IF(M29=[1]Datos!$B$225,1,0))+(IF(M30=[1]Datos!$B$225,1,0))+(IF(M31=[1]Datos!$B$225,1,0))+(IF(M32=[1]Datos!$B$225,1,0))+(IF(M33=[1]Datos!$B$225,1,0))+(IF(M28=[1]Datos!$B$226,1,0))+(IF(M29=[1]Datos!$B$226,1,0))+(IF(M30=[1]Datos!$B$226,1,0))+(IF(M31=[1]Datos!$B$226,1,0))+(IF(M32=[1]Datos!$B$226,1,0))+(IF(M33=[1]Datos!$B$226,1,0)))),0,((IF(M28=[1]Datos!$B$225,U28,0))+(IF(M29=[1]Datos!$B$225,U29,0))+(IF(M30=[1]Datos!$B$225,U30,0))+(IF(M31=[1]Datos!$B$225,U31,0))+(IF(M32=[1]Datos!$B$225,U32,0))+(IF(M33=[1]Datos!$B$225,U33,0))+(IF(M28=[1]Datos!$B$226,U28,0))+(IF(M29=[1]Datos!$B$226,U29,0))+(IF(M30=[1]Datos!$B$226,U30,0))+(IF(M31=[1]Datos!$B$226,U31,0))+(IF(M32=[1]Datos!$B$226,U32,0))+(IF(M33=[1]Datos!$B$226,U33,0)))/((IF(M28=[1]Datos!$B$225,1,0))+(IF(M29=[1]Datos!$B$225,1,0))+(IF(M30=[1]Datos!$B$225,1,0))+(IF(M31=[1]Datos!$B$225,1,0))+(IF(M32=[1]Datos!$B$225,1,0))+(IF(M33=[1]Datos!$B$225,1,0))+(IF(M28=[1]Datos!$B$226,1,0))+(IF(M29=[1]Datos!$B$226,1,0))+(IF(M30=[1]Datos!$B$226,1,0))+(IF(M31=[1]Datos!$B$226,1,0))+(IF(M32=[1]Datos!$B$226,1,0))+(IF(M33=[1]Datos!$B$226,1,0))))</f>
        <v>0</v>
      </c>
      <c r="Y28" s="127" t="str">
        <f>IF(J28="","-",(IF(X28&gt;0,(IF(J28=[1]Datos!$B$219,[1]Datos!$B$219,IF(AND(J28=[1]Datos!$B$220,X28&gt;0.49),[1]Datos!$B$219,IF(AND(J28=[1]Datos!$B$221,X28&gt;0.74),[1]Datos!$B$219,IF(AND(J28=[1]Datos!$B$221,X28&lt;0.75,X28&gt;0.49),[1]Datos!$B$220,IF(AND(J28=[1]Datos!$B$222,X28&gt;0.74),[1]Datos!$B$220,IF(AND(J28=[1]Datos!$B$222,X28&lt;0.75,X28&gt;0.49),[1]Datos!$B$221,IF(AND(J28=[1]Datos!$B$223,X28&gt;0.74),[1]Datos!$B$221,IF(AND(J28=[1]Datos!$B$223,X28&lt;0.75,X28&gt;0.49),[1]Datos!$B$222,J28))))))))),J28)))</f>
        <v>Catastrófico - 20</v>
      </c>
      <c r="Z28" s="133" t="str">
        <f>IF(AND(W28=[1]Datos!$B$212,Y28=[1]Datos!$B$219),[1]Datos!$D$216,IF(AND(W28=[1]Datos!$B$212,Y28=[1]Datos!$B$220),[1]Datos!$E$216,IF(AND(W28=[1]Datos!$B$212,Y28=[1]Datos!$B$221),[1]Datos!$F$216,IF(AND(W28=[1]Datos!$B$213,Y28=[1]Datos!$B$219),[1]Datos!$D$215,IF(AND(W28=[1]Datos!$B$213,Y28=[1]Datos!$B$220),[1]Datos!$E$215,IF(AND(W28=[1]Datos!$B$213,Y28=[1]Datos!$B$221),[1]Datos!$F$215,IF(AND(W28=[1]Datos!$B$214,Y28=[1]Datos!$B$219),[1]Datos!$D$214,IF(AND(W28=[1]Datos!$B$214,Y28=[1]Datos!$B$220),[1]Datos!$E$214,IF(AND(W28=[1]Datos!$B$214,Y28=[1]Datos!$B$221),[1]Datos!$F$214,IF(AND(W28=[1]Datos!$B$215,Y28=[1]Datos!$B$219),[1]Datos!$D$213,IF(AND(W28=[1]Datos!$B$215,Y28=[1]Datos!$B$220),[1]Datos!$E$213,IF(AND(W28=[1]Datos!$B$215,Y28=[1]Datos!$B$221),[1]Datos!$F$213,IF(AND(W28=[1]Datos!$B$216,Y28=[1]Datos!$B$219),[1]Datos!$D$212,IF(AND(W28=[1]Datos!$B$216,Y28=[1]Datos!$B$220),[1]Datos!$E$212,IF(AND(W28=[1]Datos!$B$216,Y28=[1]Datos!$B$221),[1]Datos!$F$212,"-")))))))))))))))</f>
        <v>ALTA 40</v>
      </c>
      <c r="AA28" s="32" t="s">
        <v>367</v>
      </c>
      <c r="AB28" s="33" t="s">
        <v>516</v>
      </c>
      <c r="AC28" s="32" t="s">
        <v>68</v>
      </c>
      <c r="AD28" s="11"/>
      <c r="AE28" s="11"/>
      <c r="AF28" s="11"/>
      <c r="AG28" s="16"/>
      <c r="AH28" s="125"/>
      <c r="AI28" s="125"/>
      <c r="AJ28" s="125"/>
      <c r="AK28" s="125"/>
      <c r="AL28" s="125"/>
      <c r="AM28" s="125"/>
      <c r="AN28" s="125"/>
      <c r="AO28" s="125"/>
      <c r="AP28" s="125"/>
      <c r="AQ28" s="125"/>
    </row>
    <row r="29" spans="1:43" s="9" customFormat="1" ht="60.75" customHeight="1" x14ac:dyDescent="0.25">
      <c r="A29" s="152"/>
      <c r="B29" s="128"/>
      <c r="C29" s="155"/>
      <c r="D29" s="181" t="s">
        <v>452</v>
      </c>
      <c r="E29" s="181"/>
      <c r="F29" s="181"/>
      <c r="G29" s="236"/>
      <c r="H29" s="24" t="s">
        <v>56</v>
      </c>
      <c r="I29" s="149"/>
      <c r="J29" s="149"/>
      <c r="K29" s="134"/>
      <c r="L29" s="18" t="s">
        <v>370</v>
      </c>
      <c r="M29" s="19" t="s">
        <v>47</v>
      </c>
      <c r="N29" s="20" t="s">
        <v>48</v>
      </c>
      <c r="O29" s="20" t="s">
        <v>49</v>
      </c>
      <c r="P29" s="20" t="s">
        <v>48</v>
      </c>
      <c r="Q29" s="20" t="s">
        <v>50</v>
      </c>
      <c r="R29" s="20" t="s">
        <v>48</v>
      </c>
      <c r="S29" s="20" t="s">
        <v>51</v>
      </c>
      <c r="T29" s="20" t="s">
        <v>52</v>
      </c>
      <c r="U29" s="21">
        <f>((IF(N29=[1]Datos!$B$233,15,0))/100)+((IF(O29=[1]Datos!$B$229,5,0))/100)+((IF(P29=[1]Datos!$B$233,15,0))/100)+((IF(Q29=[1]Datos!$B$231,10,0))/100)+((IF(R29=[1]Datos!$B$233,15,0))/100)+((IF(S29=[1]Datos!$B$231,10,0))/100)+((IF(T29=[1]Datos!$B$235,30,0))/100)</f>
        <v>0.89999999999999991</v>
      </c>
      <c r="V29" s="131"/>
      <c r="W29" s="128"/>
      <c r="X29" s="131"/>
      <c r="Y29" s="128"/>
      <c r="Z29" s="134"/>
      <c r="AA29" s="18" t="s">
        <v>367</v>
      </c>
      <c r="AB29" s="22" t="s">
        <v>517</v>
      </c>
      <c r="AC29" s="18" t="s">
        <v>69</v>
      </c>
      <c r="AD29" s="18"/>
      <c r="AE29" s="18"/>
      <c r="AF29" s="18"/>
      <c r="AG29" s="23"/>
      <c r="AH29" s="125"/>
      <c r="AI29" s="125"/>
      <c r="AJ29" s="125"/>
      <c r="AK29" s="125"/>
      <c r="AL29" s="125"/>
      <c r="AM29" s="125"/>
      <c r="AN29" s="125"/>
      <c r="AO29" s="125"/>
      <c r="AP29" s="125"/>
      <c r="AQ29" s="125"/>
    </row>
    <row r="30" spans="1:43" s="9" customFormat="1" ht="41.25" customHeight="1" x14ac:dyDescent="0.25">
      <c r="A30" s="152"/>
      <c r="B30" s="128"/>
      <c r="C30" s="155"/>
      <c r="D30" s="136"/>
      <c r="E30" s="136"/>
      <c r="F30" s="181"/>
      <c r="G30" s="236"/>
      <c r="H30" s="24"/>
      <c r="I30" s="149"/>
      <c r="J30" s="149"/>
      <c r="K30" s="134"/>
      <c r="L30" s="18"/>
      <c r="M30" s="19"/>
      <c r="N30" s="20"/>
      <c r="O30" s="20"/>
      <c r="P30" s="20"/>
      <c r="Q30" s="20"/>
      <c r="R30" s="20"/>
      <c r="S30" s="20"/>
      <c r="T30" s="20"/>
      <c r="U30" s="21">
        <f>((IF(N30=[1]Datos!$B$233,15,0))/100)+((IF(O30=[1]Datos!$B$229,5,0))/100)+((IF(P30=[1]Datos!$B$233,15,0))/100)+((IF(Q30=[1]Datos!$B$231,10,0))/100)+((IF(R30=[1]Datos!$B$233,15,0))/100)+((IF(S30=[1]Datos!$B$231,10,0))/100)+((IF(T30=[1]Datos!$B$235,30,0))/100)</f>
        <v>0</v>
      </c>
      <c r="V30" s="131"/>
      <c r="W30" s="128"/>
      <c r="X30" s="131"/>
      <c r="Y30" s="128"/>
      <c r="Z30" s="134"/>
      <c r="AA30" s="18" t="s">
        <v>368</v>
      </c>
      <c r="AB30" s="18" t="s">
        <v>518</v>
      </c>
      <c r="AC30" s="18" t="s">
        <v>70</v>
      </c>
      <c r="AD30" s="18"/>
      <c r="AE30" s="18"/>
      <c r="AF30" s="18"/>
      <c r="AG30" s="23"/>
      <c r="AH30" s="125"/>
      <c r="AI30" s="125"/>
      <c r="AJ30" s="125"/>
      <c r="AK30" s="125"/>
      <c r="AL30" s="125"/>
      <c r="AM30" s="125"/>
      <c r="AN30" s="125"/>
      <c r="AO30" s="125"/>
      <c r="AP30" s="125"/>
      <c r="AQ30" s="125"/>
    </row>
    <row r="31" spans="1:43" s="9" customFormat="1" ht="52.5" customHeight="1" x14ac:dyDescent="0.25">
      <c r="A31" s="152"/>
      <c r="B31" s="128"/>
      <c r="C31" s="155"/>
      <c r="D31" s="136"/>
      <c r="E31" s="136"/>
      <c r="F31" s="181"/>
      <c r="G31" s="236"/>
      <c r="H31" s="24"/>
      <c r="I31" s="149"/>
      <c r="J31" s="149"/>
      <c r="K31" s="134"/>
      <c r="L31" s="18"/>
      <c r="M31" s="19"/>
      <c r="N31" s="20"/>
      <c r="O31" s="20"/>
      <c r="P31" s="20"/>
      <c r="Q31" s="20"/>
      <c r="R31" s="20"/>
      <c r="S31" s="20"/>
      <c r="T31" s="20"/>
      <c r="U31" s="21">
        <f>((IF(N31=[1]Datos!$B$233,15,0))/100)+((IF(O31=[1]Datos!$B$229,5,0))/100)+((IF(P31=[1]Datos!$B$233,15,0))/100)+((IF(Q31=[1]Datos!$B$231,10,0))/100)+((IF(R31=[1]Datos!$B$233,15,0))/100)+((IF(S31=[1]Datos!$B$231,10,0))/100)+((IF(T31=[1]Datos!$B$235,30,0))/100)</f>
        <v>0</v>
      </c>
      <c r="V31" s="131"/>
      <c r="W31" s="128"/>
      <c r="X31" s="131"/>
      <c r="Y31" s="128"/>
      <c r="Z31" s="134"/>
      <c r="AA31" s="18" t="s">
        <v>369</v>
      </c>
      <c r="AB31" s="18" t="s">
        <v>519</v>
      </c>
      <c r="AC31" s="18" t="s">
        <v>70</v>
      </c>
      <c r="AD31" s="18"/>
      <c r="AE31" s="18"/>
      <c r="AF31" s="18"/>
      <c r="AG31" s="23"/>
      <c r="AH31" s="125"/>
      <c r="AI31" s="125"/>
      <c r="AJ31" s="125"/>
      <c r="AK31" s="125"/>
      <c r="AL31" s="125"/>
      <c r="AM31" s="125"/>
      <c r="AN31" s="125"/>
      <c r="AO31" s="125"/>
      <c r="AP31" s="125"/>
      <c r="AQ31" s="125"/>
    </row>
    <row r="32" spans="1:43" s="9" customFormat="1" ht="30" customHeight="1" x14ac:dyDescent="0.25">
      <c r="A32" s="152"/>
      <c r="B32" s="128"/>
      <c r="C32" s="155"/>
      <c r="D32" s="136"/>
      <c r="E32" s="136"/>
      <c r="F32" s="181"/>
      <c r="G32" s="236"/>
      <c r="H32" s="24"/>
      <c r="I32" s="149"/>
      <c r="J32" s="149"/>
      <c r="K32" s="134"/>
      <c r="L32" s="18"/>
      <c r="M32" s="19"/>
      <c r="N32" s="20"/>
      <c r="O32" s="20"/>
      <c r="P32" s="20"/>
      <c r="Q32" s="20"/>
      <c r="R32" s="20"/>
      <c r="S32" s="20"/>
      <c r="T32" s="20"/>
      <c r="U32" s="21">
        <f>((IF(N32=[1]Datos!$B$233,15,0))/100)+((IF(O32=[1]Datos!$B$229,5,0))/100)+((IF(P32=[1]Datos!$B$233,15,0))/100)+((IF(Q32=[1]Datos!$B$231,10,0))/100)+((IF(R32=[1]Datos!$B$233,15,0))/100)+((IF(S32=[1]Datos!$B$231,10,0))/100)+((IF(T32=[1]Datos!$B$235,30,0))/100)</f>
        <v>0</v>
      </c>
      <c r="V32" s="131"/>
      <c r="W32" s="128"/>
      <c r="X32" s="131"/>
      <c r="Y32" s="128"/>
      <c r="Z32" s="134"/>
      <c r="AA32" s="18"/>
      <c r="AB32" s="18"/>
      <c r="AC32" s="18"/>
      <c r="AD32" s="18"/>
      <c r="AE32" s="18"/>
      <c r="AF32" s="18"/>
      <c r="AG32" s="23"/>
      <c r="AH32" s="125"/>
      <c r="AI32" s="125"/>
      <c r="AJ32" s="125"/>
      <c r="AK32" s="125"/>
      <c r="AL32" s="125"/>
      <c r="AM32" s="125"/>
      <c r="AN32" s="125"/>
      <c r="AO32" s="125"/>
      <c r="AP32" s="125"/>
      <c r="AQ32" s="125"/>
    </row>
    <row r="33" spans="1:43" s="9" customFormat="1" ht="30" customHeight="1" thickBot="1" x14ac:dyDescent="0.3">
      <c r="A33" s="153"/>
      <c r="B33" s="129"/>
      <c r="C33" s="156"/>
      <c r="D33" s="137"/>
      <c r="E33" s="137"/>
      <c r="F33" s="186"/>
      <c r="G33" s="237"/>
      <c r="H33" s="25"/>
      <c r="I33" s="150"/>
      <c r="J33" s="150"/>
      <c r="K33" s="135"/>
      <c r="L33" s="26"/>
      <c r="M33" s="27"/>
      <c r="N33" s="28"/>
      <c r="O33" s="28"/>
      <c r="P33" s="28"/>
      <c r="Q33" s="28"/>
      <c r="R33" s="28"/>
      <c r="S33" s="28"/>
      <c r="T33" s="28"/>
      <c r="U33" s="29">
        <f>((IF(N33=[1]Datos!$B$233,15,0))/100)+((IF(O33=[1]Datos!$B$229,5,0))/100)+((IF(P33=[1]Datos!$B$233,15,0))/100)+((IF(Q33=[1]Datos!$B$231,10,0))/100)+((IF(R33=[1]Datos!$B$233,15,0))/100)+((IF(S33=[1]Datos!$B$231,10,0))/100)+((IF(T33=[1]Datos!$B$235,30,0))/100)</f>
        <v>0</v>
      </c>
      <c r="V33" s="132"/>
      <c r="W33" s="129"/>
      <c r="X33" s="132"/>
      <c r="Y33" s="129"/>
      <c r="Z33" s="135"/>
      <c r="AA33" s="26"/>
      <c r="AB33" s="26"/>
      <c r="AC33" s="26"/>
      <c r="AD33" s="26"/>
      <c r="AE33" s="26"/>
      <c r="AF33" s="26"/>
      <c r="AG33" s="30"/>
      <c r="AH33" s="125"/>
      <c r="AI33" s="125"/>
      <c r="AJ33" s="125"/>
      <c r="AK33" s="125"/>
      <c r="AL33" s="125"/>
      <c r="AM33" s="125"/>
      <c r="AN33" s="125"/>
      <c r="AO33" s="125"/>
      <c r="AP33" s="125"/>
      <c r="AQ33" s="125"/>
    </row>
    <row r="34" spans="1:43" s="9" customFormat="1" ht="75.75" customHeight="1" x14ac:dyDescent="0.25">
      <c r="A34" s="151" t="s">
        <v>530</v>
      </c>
      <c r="B34" s="127"/>
      <c r="C34" s="154" t="s">
        <v>536</v>
      </c>
      <c r="D34" s="147" t="s">
        <v>447</v>
      </c>
      <c r="E34" s="147"/>
      <c r="F34" s="189" t="s">
        <v>71</v>
      </c>
      <c r="G34" s="189" t="s">
        <v>72</v>
      </c>
      <c r="H34" s="10" t="s">
        <v>73</v>
      </c>
      <c r="I34" s="148" t="s">
        <v>45</v>
      </c>
      <c r="J34" s="148" t="s">
        <v>46</v>
      </c>
      <c r="K34" s="133" t="str">
        <f>IF(AND(I34=[1]Datos!$B$212,J34=[1]Datos!$B$219),[1]Datos!$D$216,IF(AND(I34=[1]Datos!$B$212,J34=[1]Datos!$B$220),[1]Datos!$E$216,IF(AND(I34=[1]Datos!$B$212,J34=[1]Datos!$B$221),[1]Datos!$F$216,IF(AND(I34=[1]Datos!$B$213,J34=[1]Datos!$B$219),[1]Datos!$D$215,IF(AND(I34=[1]Datos!$B$213,J34=[1]Datos!$B$220),[1]Datos!$E$215,IF(AND(I34=[1]Datos!$B$213,J34=[1]Datos!$B$221),[1]Datos!$F$215,IF(AND(I34=[1]Datos!$B$214,J34=[1]Datos!$B$219),[1]Datos!$D$214,IF(AND(I34=[1]Datos!$B$214,J34=[1]Datos!$B$220),[1]Datos!$E$214,IF(AND(I34=[1]Datos!$B$214,J34=[1]Datos!$B$221),[1]Datos!$F$214,IF(AND(I34=[1]Datos!$B$215,J34=[1]Datos!$B$219),[1]Datos!$D$213,IF(AND(I34=[1]Datos!$B$215,J34=[1]Datos!$B$220),[1]Datos!$E$213,IF(AND(I34=[1]Datos!$B$215,J34=[1]Datos!$B$221),[1]Datos!$F$213,IF(AND(I34=[1]Datos!$B$216,J34=[1]Datos!$B$219),[1]Datos!$D$212,IF(AND(I34=[1]Datos!$B$216,J34=[1]Datos!$B$220),[1]Datos!$E$212,IF(AND(I34=[1]Datos!$B$216,J34=[1]Datos!$B$221),[1]Datos!$F$212,"-")))))))))))))))</f>
        <v>EXTREMA 60</v>
      </c>
      <c r="L34" s="11" t="s">
        <v>334</v>
      </c>
      <c r="M34" s="12" t="s">
        <v>47</v>
      </c>
      <c r="N34" s="13" t="s">
        <v>50</v>
      </c>
      <c r="O34" s="13" t="s">
        <v>49</v>
      </c>
      <c r="P34" s="13" t="s">
        <v>50</v>
      </c>
      <c r="Q34" s="13" t="s">
        <v>51</v>
      </c>
      <c r="R34" s="13" t="s">
        <v>50</v>
      </c>
      <c r="S34" s="13" t="s">
        <v>50</v>
      </c>
      <c r="T34" s="13" t="s">
        <v>50</v>
      </c>
      <c r="U34" s="14">
        <f>((IF(N34=[1]Datos!$B$233,15,0))/100)+((IF(O34=[1]Datos!$B$229,5,0))/100)+((IF(P34=[1]Datos!$B$233,15,0))/100)+((IF(Q34=[1]Datos!$B$231,10,0))/100)+((IF(R34=[1]Datos!$B$233,15,0))/100)+((IF(S34=[1]Datos!$B$231,10,0))/100)+((IF(T34=[1]Datos!$B$235,30,0))/100)</f>
        <v>0.15000000000000002</v>
      </c>
      <c r="V34" s="130">
        <f>IF(ISERROR(((IF(M34=[1]Datos!$B$224,U34,0))+(IF(M35=[1]Datos!$B$224,U35,0))+(IF(M36=[1]Datos!$B$224,U36,0))+(IF(M37=[1]Datos!$B$224,U37,0))+(IF(M38=[1]Datos!$B$224,U38,0))+(IF(M39=[1]Datos!$B$224,U39,0)))/((IF(M34=[1]Datos!$B$224,1,0))+(IF(M35=[1]Datos!$B$224,1,0))+(IF(M36=[1]Datos!$B$224,1,0))+(IF(M37=[1]Datos!$B$224,1,0))+(IF(M38=[1]Datos!$B$224,1,0))+(IF(M39=[1]Datos!$B$224,1,0)))),0,(((IF(M34=[1]Datos!$B$224,U34,0))+(IF(M35=[1]Datos!$B$224,U35,0))+(IF(M36=[1]Datos!$B$224,U36,0))+(IF(M37=[1]Datos!$B$224,U37,0))+(IF(M38=[1]Datos!$B$224,U38,0))+(IF(M39=[1]Datos!$B$224,U39,0)))/((IF(M34=[1]Datos!$B$224,1,0))+(IF(M35=[1]Datos!$B$224,1,0))+(IF(M36=[1]Datos!$B$224,1,0))+(IF(M37=[1]Datos!$B$224,1,0))+(IF(M38=[1]Datos!$B$224,1,0))+(IF(M39=[1]Datos!$B$224,1,0)))))</f>
        <v>0.5</v>
      </c>
      <c r="W34" s="127" t="str">
        <f>IF(I34="","-",(IF(V34&gt;0,(IF(I34=[1]Datos!$B$212,[1]Datos!$B$212,IF(AND(I34=[1]Datos!$B$213,V34&gt;0.49),[1]Datos!$B$212,IF(AND(I34=[1]Datos!$B$214,V34&gt;0.74),[1]Datos!$B$212,IF(AND(I34=[1]Datos!$B$214,V34&lt;0.75,V34&gt;0.49),[1]Datos!$B$213,IF(AND(I34=[1]Datos!$B$215,V34&gt;0.74),[1]Datos!$B$213,IF(AND(I34=[1]Datos!$B$215,V34&lt;0.75,V34&gt;0.49),[1]Datos!$B$214,IF(AND(I34=[1]Datos!$B$216,V34&gt;0.74),[1]Datos!$B$214,IF(AND(I34=[1]Datos!$B$216,V34&lt;0.75,V34&gt;0.49),[1]Datos!$B$215,I34))))))))),I34)))</f>
        <v>Improbable - 2</v>
      </c>
      <c r="X34" s="130">
        <f>IF(ISERROR(((IF(M34=[1]Datos!$B$225,U34,0))+(IF(M35=[1]Datos!$B$225,U35,0))+(IF(M36=[1]Datos!$B$225,U36,0))+(IF(M37=[1]Datos!$B$225,U37,0))+(IF(M38=[1]Datos!$B$225,U38,0))+(IF(M39=[1]Datos!$B$225,U39,0))+(IF(M34=[1]Datos!$B$226,U34,0))+(IF(M35=[1]Datos!$B$226,U35,0))+(IF(M36=[1]Datos!$B$226,U36,0))+(IF(M37=[1]Datos!$B$226,U37,0))+(IF(M38=[1]Datos!$B$226,U38,0))+(IF(M39=[1]Datos!$B$226,U39,0)))/((IF(M34=[1]Datos!$B$225,1,0))+(IF(M35=[1]Datos!$B$225,1,0))+(IF(M36=[1]Datos!$B$225,1,0))+(IF(M37=[1]Datos!$B$225,1,0))+(IF(M38=[1]Datos!$B$225,1,0))+(IF(M39=[1]Datos!$B$225,1,0))+(IF(M34=[1]Datos!$B$226,1,0))+(IF(M35=[1]Datos!$B$226,1,0))+(IF(M36=[1]Datos!$B$226,1,0))+(IF(M37=[1]Datos!$B$226,1,0))+(IF(M38=[1]Datos!$B$226,1,0))+(IF(M39=[1]Datos!$B$226,1,0)))),0,((IF(M34=[1]Datos!$B$225,U34,0))+(IF(M35=[1]Datos!$B$225,U35,0))+(IF(M36=[1]Datos!$B$225,U36,0))+(IF(M37=[1]Datos!$B$225,U37,0))+(IF(M38=[1]Datos!$B$225,U38,0))+(IF(M39=[1]Datos!$B$225,U39,0))+(IF(M34=[1]Datos!$B$226,U34,0))+(IF(M35=[1]Datos!$B$226,U35,0))+(IF(M36=[1]Datos!$B$226,U36,0))+(IF(M37=[1]Datos!$B$226,U37,0))+(IF(M38=[1]Datos!$B$226,U38,0))+(IF(M39=[1]Datos!$B$226,U39,0)))/((IF(M34=[1]Datos!$B$225,1,0))+(IF(M35=[1]Datos!$B$225,1,0))+(IF(M36=[1]Datos!$B$225,1,0))+(IF(M37=[1]Datos!$B$225,1,0))+(IF(M38=[1]Datos!$B$225,1,0))+(IF(M39=[1]Datos!$B$225,1,0))+(IF(M34=[1]Datos!$B$226,1,0))+(IF(M35=[1]Datos!$B$226,1,0))+(IF(M36=[1]Datos!$B$226,1,0))+(IF(M37=[1]Datos!$B$226,1,0))+(IF(M38=[1]Datos!$B$226,1,0))+(IF(M39=[1]Datos!$B$226,1,0))))</f>
        <v>0</v>
      </c>
      <c r="Y34" s="127" t="str">
        <f>IF(J34="","-",(IF(X34&gt;0,(IF(J34=[1]Datos!$B$219,[1]Datos!$B$219,IF(AND(J34=[1]Datos!$B$220,X34&gt;0.49),[1]Datos!$B$219,IF(AND(J34=[1]Datos!$B$221,X34&gt;0.74),[1]Datos!$B$219,IF(AND(J34=[1]Datos!$B$221,X34&lt;0.75,X34&gt;0.49),[1]Datos!$B$220,IF(AND(J34=[1]Datos!$B$222,X34&gt;0.74),[1]Datos!$B$220,IF(AND(J34=[1]Datos!$B$222,X34&lt;0.75,X34&gt;0.49),[1]Datos!$B$221,IF(AND(J34=[1]Datos!$B$223,X34&gt;0.74),[1]Datos!$B$221,IF(AND(J34=[1]Datos!$B$223,X34&lt;0.75,X34&gt;0.49),[1]Datos!$B$222,J34))))))))),J34)))</f>
        <v>Catastrófico - 20</v>
      </c>
      <c r="Z34" s="133" t="str">
        <f>IF(AND(W34=[1]Datos!$B$212,Y34=[1]Datos!$B$219),[1]Datos!$D$216,IF(AND(W34=[1]Datos!$B$212,Y34=[1]Datos!$B$220),[1]Datos!$E$216,IF(AND(W34=[1]Datos!$B$212,Y34=[1]Datos!$B$221),[1]Datos!$F$216,IF(AND(W34=[1]Datos!$B$213,Y34=[1]Datos!$B$219),[1]Datos!$D$215,IF(AND(W34=[1]Datos!$B$213,Y34=[1]Datos!$B$220),[1]Datos!$E$215,IF(AND(W34=[1]Datos!$B$213,Y34=[1]Datos!$B$221),[1]Datos!$F$215,IF(AND(W34=[1]Datos!$B$214,Y34=[1]Datos!$B$219),[1]Datos!$D$214,IF(AND(W34=[1]Datos!$B$214,Y34=[1]Datos!$B$220),[1]Datos!$E$214,IF(AND(W34=[1]Datos!$B$214,Y34=[1]Datos!$B$221),[1]Datos!$F$214,IF(AND(W34=[1]Datos!$B$215,Y34=[1]Datos!$B$219),[1]Datos!$D$213,IF(AND(W34=[1]Datos!$B$215,Y34=[1]Datos!$B$220),[1]Datos!$E$213,IF(AND(W34=[1]Datos!$B$215,Y34=[1]Datos!$B$221),[1]Datos!$F$213,IF(AND(W34=[1]Datos!$B$216,Y34=[1]Datos!$B$219),[1]Datos!$D$212,IF(AND(W34=[1]Datos!$B$216,Y34=[1]Datos!$B$220),[1]Datos!$E$212,IF(AND(W34=[1]Datos!$B$216,Y34=[1]Datos!$B$221),[1]Datos!$F$212,"-")))))))))))))))</f>
        <v>ALTA 40</v>
      </c>
      <c r="AA34" s="32" t="s">
        <v>364</v>
      </c>
      <c r="AB34" s="34" t="s">
        <v>514</v>
      </c>
      <c r="AC34" s="32" t="s">
        <v>64</v>
      </c>
      <c r="AD34" s="11"/>
      <c r="AE34" s="11"/>
      <c r="AF34" s="11"/>
      <c r="AG34" s="16"/>
      <c r="AH34" s="125"/>
      <c r="AI34" s="125"/>
      <c r="AJ34" s="125"/>
      <c r="AK34" s="125"/>
      <c r="AL34" s="125"/>
      <c r="AM34" s="125"/>
      <c r="AN34" s="125"/>
      <c r="AO34" s="125"/>
      <c r="AP34" s="125"/>
      <c r="AQ34" s="125"/>
    </row>
    <row r="35" spans="1:43" s="9" customFormat="1" ht="100.5" customHeight="1" x14ac:dyDescent="0.25">
      <c r="A35" s="152"/>
      <c r="B35" s="128"/>
      <c r="C35" s="155"/>
      <c r="D35" s="170" t="s">
        <v>446</v>
      </c>
      <c r="E35" s="170"/>
      <c r="F35" s="233"/>
      <c r="G35" s="233"/>
      <c r="H35" s="24" t="s">
        <v>56</v>
      </c>
      <c r="I35" s="149"/>
      <c r="J35" s="149"/>
      <c r="K35" s="134"/>
      <c r="L35" s="18" t="s">
        <v>371</v>
      </c>
      <c r="M35" s="19" t="s">
        <v>47</v>
      </c>
      <c r="N35" s="20" t="s">
        <v>48</v>
      </c>
      <c r="O35" s="20" t="s">
        <v>49</v>
      </c>
      <c r="P35" s="20" t="s">
        <v>50</v>
      </c>
      <c r="Q35" s="20" t="s">
        <v>51</v>
      </c>
      <c r="R35" s="20" t="s">
        <v>48</v>
      </c>
      <c r="S35" s="20" t="s">
        <v>51</v>
      </c>
      <c r="T35" s="20" t="s">
        <v>52</v>
      </c>
      <c r="U35" s="21">
        <f>((IF(N35=[1]Datos!$B$233,15,0))/100)+((IF(O35=[1]Datos!$B$229,5,0))/100)+((IF(P35=[1]Datos!$B$233,15,0))/100)+((IF(Q35=[1]Datos!$B$231,10,0))/100)+((IF(R35=[1]Datos!$B$233,15,0))/100)+((IF(S35=[1]Datos!$B$231,10,0))/100)+((IF(T35=[1]Datos!$B$235,30,0))/100)</f>
        <v>0.85000000000000009</v>
      </c>
      <c r="V35" s="131"/>
      <c r="W35" s="128"/>
      <c r="X35" s="131"/>
      <c r="Y35" s="128"/>
      <c r="Z35" s="134"/>
      <c r="AA35" s="18" t="s">
        <v>365</v>
      </c>
      <c r="AB35" s="18" t="s">
        <v>515</v>
      </c>
      <c r="AC35" s="18" t="s">
        <v>366</v>
      </c>
      <c r="AD35" s="18"/>
      <c r="AE35" s="18"/>
      <c r="AF35" s="18"/>
      <c r="AG35" s="23"/>
      <c r="AH35" s="125"/>
      <c r="AI35" s="125"/>
      <c r="AJ35" s="125"/>
      <c r="AK35" s="125"/>
      <c r="AL35" s="125"/>
      <c r="AM35" s="125"/>
      <c r="AN35" s="125"/>
      <c r="AO35" s="125"/>
      <c r="AP35" s="125"/>
      <c r="AQ35" s="125"/>
    </row>
    <row r="36" spans="1:43" s="9" customFormat="1" ht="30" customHeight="1" x14ac:dyDescent="0.25">
      <c r="A36" s="152"/>
      <c r="B36" s="128"/>
      <c r="C36" s="155"/>
      <c r="D36" s="136"/>
      <c r="E36" s="136"/>
      <c r="F36" s="233"/>
      <c r="G36" s="233"/>
      <c r="H36" s="24"/>
      <c r="I36" s="149"/>
      <c r="J36" s="149"/>
      <c r="K36" s="134"/>
      <c r="L36" s="18"/>
      <c r="M36" s="19"/>
      <c r="N36" s="20"/>
      <c r="O36" s="20"/>
      <c r="P36" s="20"/>
      <c r="Q36" s="20"/>
      <c r="R36" s="20"/>
      <c r="S36" s="20"/>
      <c r="T36" s="20"/>
      <c r="U36" s="21">
        <f>((IF(N36=[1]Datos!$B$233,15,0))/100)+((IF(O36=[1]Datos!$B$229,5,0))/100)+((IF(P36=[1]Datos!$B$233,15,0))/100)+((IF(Q36=[1]Datos!$B$231,10,0))/100)+((IF(R36=[1]Datos!$B$233,15,0))/100)+((IF(S36=[1]Datos!$B$231,10,0))/100)+((IF(T36=[1]Datos!$B$235,30,0))/100)</f>
        <v>0</v>
      </c>
      <c r="V36" s="131"/>
      <c r="W36" s="128"/>
      <c r="X36" s="131"/>
      <c r="Y36" s="128"/>
      <c r="Z36" s="134"/>
      <c r="AA36" s="18"/>
      <c r="AB36" s="18"/>
      <c r="AC36" s="18"/>
      <c r="AD36" s="18"/>
      <c r="AE36" s="18"/>
      <c r="AF36" s="18"/>
      <c r="AG36" s="23"/>
      <c r="AH36" s="125"/>
      <c r="AI36" s="125"/>
      <c r="AJ36" s="125"/>
      <c r="AK36" s="125"/>
      <c r="AL36" s="125"/>
      <c r="AM36" s="125"/>
      <c r="AN36" s="125"/>
      <c r="AO36" s="125"/>
      <c r="AP36" s="125"/>
      <c r="AQ36" s="125"/>
    </row>
    <row r="37" spans="1:43" s="9" customFormat="1" ht="30" customHeight="1" x14ac:dyDescent="0.25">
      <c r="A37" s="152"/>
      <c r="B37" s="128"/>
      <c r="C37" s="155"/>
      <c r="D37" s="136"/>
      <c r="E37" s="136"/>
      <c r="F37" s="233"/>
      <c r="G37" s="233"/>
      <c r="H37" s="24"/>
      <c r="I37" s="149"/>
      <c r="J37" s="149"/>
      <c r="K37" s="134"/>
      <c r="L37" s="18"/>
      <c r="M37" s="19"/>
      <c r="N37" s="20"/>
      <c r="O37" s="20"/>
      <c r="P37" s="20"/>
      <c r="Q37" s="20"/>
      <c r="R37" s="20"/>
      <c r="S37" s="20"/>
      <c r="T37" s="20"/>
      <c r="U37" s="21">
        <f>((IF(N37=[1]Datos!$B$233,15,0))/100)+((IF(O37=[1]Datos!$B$229,5,0))/100)+((IF(P37=[1]Datos!$B$233,15,0))/100)+((IF(Q37=[1]Datos!$B$231,10,0))/100)+((IF(R37=[1]Datos!$B$233,15,0))/100)+((IF(S37=[1]Datos!$B$231,10,0))/100)+((IF(T37=[1]Datos!$B$235,30,0))/100)</f>
        <v>0</v>
      </c>
      <c r="V37" s="131"/>
      <c r="W37" s="128"/>
      <c r="X37" s="131"/>
      <c r="Y37" s="128"/>
      <c r="Z37" s="134"/>
      <c r="AA37" s="18"/>
      <c r="AB37" s="18"/>
      <c r="AC37" s="18"/>
      <c r="AD37" s="18"/>
      <c r="AE37" s="18"/>
      <c r="AF37" s="18"/>
      <c r="AG37" s="23"/>
      <c r="AH37" s="125"/>
      <c r="AI37" s="125"/>
      <c r="AJ37" s="125"/>
      <c r="AK37" s="125"/>
      <c r="AL37" s="125"/>
      <c r="AM37" s="125"/>
      <c r="AN37" s="125"/>
      <c r="AO37" s="125"/>
      <c r="AP37" s="125"/>
      <c r="AQ37" s="125"/>
    </row>
    <row r="38" spans="1:43" s="9" customFormat="1" ht="30" customHeight="1" x14ac:dyDescent="0.25">
      <c r="A38" s="152"/>
      <c r="B38" s="128"/>
      <c r="C38" s="155"/>
      <c r="D38" s="136"/>
      <c r="E38" s="136"/>
      <c r="F38" s="233"/>
      <c r="G38" s="233"/>
      <c r="H38" s="24"/>
      <c r="I38" s="149"/>
      <c r="J38" s="149"/>
      <c r="K38" s="134"/>
      <c r="L38" s="18"/>
      <c r="M38" s="19"/>
      <c r="N38" s="20"/>
      <c r="O38" s="20"/>
      <c r="P38" s="20"/>
      <c r="Q38" s="20"/>
      <c r="R38" s="20"/>
      <c r="S38" s="20"/>
      <c r="T38" s="20"/>
      <c r="U38" s="21">
        <f>((IF(N38=[1]Datos!$B$233,15,0))/100)+((IF(O38=[1]Datos!$B$229,5,0))/100)+((IF(P38=[1]Datos!$B$233,15,0))/100)+((IF(Q38=[1]Datos!$B$231,10,0))/100)+((IF(R38=[1]Datos!$B$233,15,0))/100)+((IF(S38=[1]Datos!$B$231,10,0))/100)+((IF(T38=[1]Datos!$B$235,30,0))/100)</f>
        <v>0</v>
      </c>
      <c r="V38" s="131"/>
      <c r="W38" s="128"/>
      <c r="X38" s="131"/>
      <c r="Y38" s="128"/>
      <c r="Z38" s="134"/>
      <c r="AA38" s="18"/>
      <c r="AB38" s="18"/>
      <c r="AC38" s="18"/>
      <c r="AD38" s="18"/>
      <c r="AE38" s="18"/>
      <c r="AF38" s="18"/>
      <c r="AG38" s="23"/>
      <c r="AH38" s="125"/>
      <c r="AI38" s="125"/>
      <c r="AJ38" s="125"/>
      <c r="AK38" s="125"/>
      <c r="AL38" s="125"/>
      <c r="AM38" s="125"/>
      <c r="AN38" s="125"/>
      <c r="AO38" s="125"/>
      <c r="AP38" s="125"/>
      <c r="AQ38" s="125"/>
    </row>
    <row r="39" spans="1:43" s="9" customFormat="1" ht="30" customHeight="1" thickBot="1" x14ac:dyDescent="0.3">
      <c r="A39" s="153"/>
      <c r="B39" s="129"/>
      <c r="C39" s="156"/>
      <c r="D39" s="137"/>
      <c r="E39" s="137"/>
      <c r="F39" s="234"/>
      <c r="G39" s="234"/>
      <c r="H39" s="25"/>
      <c r="I39" s="150"/>
      <c r="J39" s="150"/>
      <c r="K39" s="135"/>
      <c r="L39" s="26"/>
      <c r="M39" s="27"/>
      <c r="N39" s="28"/>
      <c r="O39" s="28"/>
      <c r="P39" s="28"/>
      <c r="Q39" s="28"/>
      <c r="R39" s="28"/>
      <c r="S39" s="28"/>
      <c r="T39" s="28"/>
      <c r="U39" s="29">
        <f>((IF(N39=[1]Datos!$B$233,15,0))/100)+((IF(O39=[1]Datos!$B$229,5,0))/100)+((IF(P39=[1]Datos!$B$233,15,0))/100)+((IF(Q39=[1]Datos!$B$231,10,0))/100)+((IF(R39=[1]Datos!$B$233,15,0))/100)+((IF(S39=[1]Datos!$B$231,10,0))/100)+((IF(T39=[1]Datos!$B$235,30,0))/100)</f>
        <v>0</v>
      </c>
      <c r="V39" s="132"/>
      <c r="W39" s="129"/>
      <c r="X39" s="132"/>
      <c r="Y39" s="129"/>
      <c r="Z39" s="135"/>
      <c r="AA39" s="26"/>
      <c r="AB39" s="26"/>
      <c r="AC39" s="26"/>
      <c r="AD39" s="26"/>
      <c r="AE39" s="26"/>
      <c r="AF39" s="26"/>
      <c r="AG39" s="30"/>
      <c r="AH39" s="125"/>
      <c r="AI39" s="125"/>
      <c r="AJ39" s="125"/>
      <c r="AK39" s="125"/>
      <c r="AL39" s="125"/>
      <c r="AM39" s="125"/>
      <c r="AN39" s="125"/>
      <c r="AO39" s="125"/>
      <c r="AP39" s="125"/>
      <c r="AQ39" s="125"/>
    </row>
    <row r="40" spans="1:43" ht="35.25" customHeight="1" x14ac:dyDescent="0.25">
      <c r="A40" s="151" t="s">
        <v>117</v>
      </c>
      <c r="B40" s="127"/>
      <c r="C40" s="154" t="s">
        <v>537</v>
      </c>
      <c r="D40" s="209" t="s">
        <v>335</v>
      </c>
      <c r="E40" s="209"/>
      <c r="F40" s="209" t="s">
        <v>82</v>
      </c>
      <c r="G40" s="224" t="s">
        <v>336</v>
      </c>
      <c r="H40" s="62" t="s">
        <v>83</v>
      </c>
      <c r="I40" s="220" t="s">
        <v>84</v>
      </c>
      <c r="J40" s="220" t="s">
        <v>85</v>
      </c>
      <c r="K40" s="133" t="str">
        <f>IF(AND(I40=[1]Datos!$B$212,J40=[1]Datos!$B$219),[1]Datos!$D$216,IF(AND(I40=[1]Datos!$B$212,J40=[1]Datos!$B$220),[1]Datos!$E$216,IF(AND(I40=[1]Datos!$B$212,J40=[1]Datos!$B$221),[1]Datos!$F$216,IF(AND(I40=[1]Datos!$B$213,J40=[1]Datos!$B$219),[1]Datos!$D$215,IF(AND(I40=[1]Datos!$B$213,J40=[1]Datos!$B$220),[1]Datos!$E$215,IF(AND(I40=[1]Datos!$B$213,J40=[1]Datos!$B$221),[1]Datos!$F$215,IF(AND(I40=[1]Datos!$B$214,J40=[1]Datos!$B$219),[1]Datos!$D$214,IF(AND(I40=[1]Datos!$B$214,J40=[1]Datos!$B$220),[1]Datos!$E$214,IF(AND(I40=[1]Datos!$B$214,J40=[1]Datos!$B$221),[1]Datos!$F$214,IF(AND(I40=[1]Datos!$B$215,J40=[1]Datos!$B$219),[1]Datos!$D$213,IF(AND(I40=[1]Datos!$B$215,J40=[1]Datos!$B$220),[1]Datos!$E$213,IF(AND(I40=[1]Datos!$B$215,J40=[1]Datos!$B$221),[1]Datos!$F$213,IF(AND(I40=[1]Datos!$B$216,J40=[1]Datos!$B$219),[1]Datos!$D$212,IF(AND(I40=[1]Datos!$B$216,J40=[1]Datos!$B$220),[1]Datos!$E$212,IF(AND(I40=[1]Datos!$B$216,J40=[1]Datos!$B$221),[1]Datos!$F$212,"-")))))))))))))))</f>
        <v>ALTA 40</v>
      </c>
      <c r="L40" s="64" t="s">
        <v>377</v>
      </c>
      <c r="M40" s="67" t="s">
        <v>47</v>
      </c>
      <c r="N40" s="70" t="s">
        <v>48</v>
      </c>
      <c r="O40" s="70" t="s">
        <v>49</v>
      </c>
      <c r="P40" s="70" t="s">
        <v>50</v>
      </c>
      <c r="Q40" s="70" t="s">
        <v>51</v>
      </c>
      <c r="R40" s="70" t="s">
        <v>48</v>
      </c>
      <c r="S40" s="70" t="s">
        <v>51</v>
      </c>
      <c r="T40" s="70" t="s">
        <v>52</v>
      </c>
      <c r="U40" s="73">
        <f>((IF(N40=[1]Datos!$B$233,15,0))/100)+((IF(O40=[1]Datos!$B$229,5,0))/100)+((IF(P40=[1]Datos!$B$233,15,0))/100)+((IF(Q40=[1]Datos!$B$231,10,0))/100)+((IF(R40=[1]Datos!$B$233,15,0))/100)+((IF(S40=[1]Datos!$B$231,10,0))/100)+((IF(T40=[1]Datos!$B$235,30,0))/100)</f>
        <v>0.85000000000000009</v>
      </c>
      <c r="V40" s="227">
        <f>IF(ISERROR(((IF(M40=[1]Datos!$B$224,U40,0))+(IF(M41=[1]Datos!$B$224,U41,0))+(IF(M42=[1]Datos!$B$224,U42,0))+(IF(M43=[1]Datos!$B$224,U43,0))+(IF(M44=[1]Datos!$B$224,U44,0))+(IF(M45=[1]Datos!$B$224,U45,0)))/((IF(M40=[1]Datos!$B$224,1,0))+(IF(M41=[1]Datos!$B$224,1,0))+(IF(M42=[1]Datos!$B$224,1,0))+(IF(M43=[1]Datos!$B$224,1,0))+(IF(M44=[1]Datos!$B$224,1,0))+(IF(M45=[1]Datos!$B$224,1,0)))),0,(((IF(M40=[1]Datos!$B$224,U40,0))+(IF(M41=[1]Datos!$B$224,U41,0))+(IF(M42=[1]Datos!$B$224,U42,0))+(IF(M43=[1]Datos!$B$224,U43,0))+(IF(M44=[1]Datos!$B$224,U44,0))+(IF(M45=[1]Datos!$B$224,U45,0)))/((IF(M40=[1]Datos!$B$224,1,0))+(IF(M41=[1]Datos!$B$224,1,0))+(IF(M42=[1]Datos!$B$224,1,0))+(IF(M43=[1]Datos!$B$224,1,0))+(IF(M44=[1]Datos!$B$224,1,0))+(IF(M45=[1]Datos!$B$224,1,0)))))</f>
        <v>0.77500000000000002</v>
      </c>
      <c r="W40" s="230" t="str">
        <f>IF(I40="","-",(IF(V40&gt;0,(IF(I40=[1]Datos!$B$212,[1]Datos!$B$212,IF(AND(I40=[1]Datos!$B$213,V40&gt;0.49),[1]Datos!$B$212,IF(AND(I40=[1]Datos!$B$214,V40&gt;0.74),[1]Datos!$B$212,IF(AND(I40=[1]Datos!$B$214,V40&lt;0.75,V40&gt;0.49),[1]Datos!$B$213,IF(AND(I40=[1]Datos!$B$215,V40&gt;0.74),[1]Datos!$B$213,IF(AND(I40=[1]Datos!$B$215,V40&lt;0.75,V40&gt;0.49),[1]Datos!$B$214,IF(AND(I40=[1]Datos!$B$216,V40&gt;0.74),[1]Datos!$B$214,IF(AND(I40=[1]Datos!$B$216,V40&lt;0.75,V40&gt;0.49),[1]Datos!$B$215,I40))))))))),I40)))</f>
        <v>Improbable - 2</v>
      </c>
      <c r="X40" s="227">
        <f>IF(ISERROR(((IF(M40=[1]Datos!$B$225,U40,0))+(IF(M41=[1]Datos!$B$225,U41,0))+(IF(M42=[1]Datos!$B$225,U42,0))+(IF(M43=[1]Datos!$B$225,U43,0))+(IF(M44=[1]Datos!$B$225,U44,0))+(IF(M45=[1]Datos!$B$225,U45,0))+(IF(M40=[1]Datos!$B$226,U40,0))+(IF(M41=[1]Datos!$B$226,U41,0))+(IF(M42=[1]Datos!$B$226,U42,0))+(IF(M43=[1]Datos!$B$226,U43,0))+(IF(M44=[1]Datos!$B$226,U44,0))+(IF(M45=[1]Datos!$B$226,U45,0)))/((IF(M40=[1]Datos!$B$225,1,0))+(IF(M41=[1]Datos!$B$225,1,0))+(IF(M42=[1]Datos!$B$225,1,0))+(IF(M43=[1]Datos!$B$225,1,0))+(IF(M44=[1]Datos!$B$225,1,0))+(IF(M45=[1]Datos!$B$225,1,0))+(IF(M40=[1]Datos!$B$226,1,0))+(IF(M41=[1]Datos!$B$226,1,0))+(IF(M42=[1]Datos!$B$226,1,0))+(IF(M43=[1]Datos!$B$226,1,0))+(IF(M44=[1]Datos!$B$226,1,0))+(IF(M45=[1]Datos!$B$226,1,0)))),0,((IF(M40=[1]Datos!$B$225,U40,0))+(IF(M41=[1]Datos!$B$225,U41,0))+(IF(M42=[1]Datos!$B$225,U42,0))+(IF(M43=[1]Datos!$B$225,U43,0))+(IF(M44=[1]Datos!$B$225,U44,0))+(IF(M45=[1]Datos!$B$225,U45,0))+(IF(M40=[1]Datos!$B$226,U40,0))+(IF(M41=[1]Datos!$B$226,U41,0))+(IF(M42=[1]Datos!$B$226,U42,0))+(IF(M43=[1]Datos!$B$226,U43,0))+(IF(M44=[1]Datos!$B$226,U44,0))+(IF(M45=[1]Datos!$B$226,U45,0)))/((IF(M40=[1]Datos!$B$225,1,0))+(IF(M41=[1]Datos!$B$225,1,0))+(IF(M42=[1]Datos!$B$225,1,0))+(IF(M43=[1]Datos!$B$225,1,0))+(IF(M44=[1]Datos!$B$225,1,0))+(IF(M45=[1]Datos!$B$225,1,0))+(IF(M40=[1]Datos!$B$226,1,0))+(IF(M41=[1]Datos!$B$226,1,0))+(IF(M42=[1]Datos!$B$226,1,0))+(IF(M43=[1]Datos!$B$226,1,0))+(IF(M44=[1]Datos!$B$226,1,0))+(IF(M45=[1]Datos!$B$226,1,0))))</f>
        <v>0.7</v>
      </c>
      <c r="Y40" s="230" t="str">
        <f>IF(J40="","-",(IF(X40&gt;0,(IF(J40=[1]Datos!$B$219,[1]Datos!$B$219,IF(AND(J40=[1]Datos!$B$220,X40&gt;0.49),[1]Datos!$B$219,IF(AND(J40=[1]Datos!$B$221,X40&gt;0.74),[1]Datos!$B$219,IF(AND(J40=[1]Datos!$B$221,X40&lt;0.75,X40&gt;0.49),[1]Datos!$B$220,IF(AND(J40=[1]Datos!$B$222,X40&gt;0.74),[1]Datos!$B$220,IF(AND(J40=[1]Datos!$B$222,X40&lt;0.75,X40&gt;0.49),[1]Datos!$B$221,IF(AND(J40=[1]Datos!$B$223,X40&gt;0.74),[1]Datos!$B$221,IF(AND(J40=[1]Datos!$B$223,X40&lt;0.75,X40&gt;0.49),[1]Datos!$B$222,J40))))))))),J40)))</f>
        <v>Moderado - 5</v>
      </c>
      <c r="Z40" s="206" t="str">
        <f>IF(AND(W40=[1]Datos!$B$212,Y40=[1]Datos!$B$219),[1]Datos!$D$216,IF(AND(W40=[1]Datos!$B$212,Y40=[1]Datos!$B$220),[1]Datos!$E$216,IF(AND(W40=[1]Datos!$B$212,Y40=[1]Datos!$B$221),[1]Datos!$F$216,IF(AND(W40=[1]Datos!$B$213,Y40=[1]Datos!$B$219),[1]Datos!$D$215,IF(AND(W40=[1]Datos!$B$213,Y40=[1]Datos!$B$220),[1]Datos!$E$215,IF(AND(W40=[1]Datos!$B$213,Y40=[1]Datos!$B$221),[1]Datos!$F$215,IF(AND(W40=[1]Datos!$B$214,Y40=[1]Datos!$B$219),[1]Datos!$D$214,IF(AND(W40=[1]Datos!$B$214,Y40=[1]Datos!$B$220),[1]Datos!$E$214,IF(AND(W40=[1]Datos!$B$214,Y40=[1]Datos!$B$221),[1]Datos!$F$214,IF(AND(W40=[1]Datos!$B$215,Y40=[1]Datos!$B$219),[1]Datos!$D$213,IF(AND(W40=[1]Datos!$B$215,Y40=[1]Datos!$B$220),[1]Datos!$E$213,IF(AND(W40=[1]Datos!$B$215,Y40=[1]Datos!$B$221),[1]Datos!$F$213,IF(AND(W40=[1]Datos!$B$216,Y40=[1]Datos!$B$219),[1]Datos!$D$212,IF(AND(W40=[1]Datos!$B$216,Y40=[1]Datos!$B$220),[1]Datos!$E$212,IF(AND(W40=[1]Datos!$B$216,Y40=[1]Datos!$B$221),[1]Datos!$F$212,"-")))))))))))))))</f>
        <v>BAJA 10</v>
      </c>
      <c r="AA40" s="74"/>
      <c r="AB40" s="74"/>
      <c r="AC40" s="74"/>
      <c r="AD40" s="74"/>
      <c r="AE40" s="74"/>
      <c r="AF40" s="74"/>
      <c r="AG40" s="75"/>
    </row>
    <row r="41" spans="1:43" ht="35.25" customHeight="1" x14ac:dyDescent="0.25">
      <c r="A41" s="152"/>
      <c r="B41" s="128"/>
      <c r="C41" s="155"/>
      <c r="D41" s="210" t="s">
        <v>86</v>
      </c>
      <c r="E41" s="210"/>
      <c r="F41" s="210"/>
      <c r="G41" s="225"/>
      <c r="H41" s="63" t="s">
        <v>87</v>
      </c>
      <c r="I41" s="221"/>
      <c r="J41" s="221"/>
      <c r="K41" s="134"/>
      <c r="L41" s="65" t="s">
        <v>378</v>
      </c>
      <c r="M41" s="68" t="s">
        <v>47</v>
      </c>
      <c r="N41" s="71" t="s">
        <v>50</v>
      </c>
      <c r="O41" s="71" t="s">
        <v>49</v>
      </c>
      <c r="P41" s="71" t="s">
        <v>50</v>
      </c>
      <c r="Q41" s="71" t="s">
        <v>51</v>
      </c>
      <c r="R41" s="71" t="s">
        <v>48</v>
      </c>
      <c r="S41" s="71" t="s">
        <v>51</v>
      </c>
      <c r="T41" s="71" t="s">
        <v>52</v>
      </c>
      <c r="U41" s="76">
        <f>((IF(N41=[1]Datos!$B$233,15,0))/100)+((IF(O41=[1]Datos!$B$229,5,0))/100)+((IF(P41=[1]Datos!$B$233,15,0))/100)+((IF(Q41=[1]Datos!$B$231,10,0))/100)+((IF(R41=[1]Datos!$B$233,15,0))/100)+((IF(S41=[1]Datos!$B$231,10,0))/100)+((IF(T41=[1]Datos!$B$235,30,0))/100)</f>
        <v>0.7</v>
      </c>
      <c r="V41" s="228"/>
      <c r="W41" s="231"/>
      <c r="X41" s="228"/>
      <c r="Y41" s="231"/>
      <c r="Z41" s="207"/>
      <c r="AA41" s="93"/>
      <c r="AB41" s="93"/>
      <c r="AC41" s="93"/>
      <c r="AD41" s="93"/>
      <c r="AE41" s="93"/>
      <c r="AF41" s="93"/>
      <c r="AG41" s="94"/>
    </row>
    <row r="42" spans="1:43" ht="34.5" customHeight="1" x14ac:dyDescent="0.25">
      <c r="A42" s="152"/>
      <c r="B42" s="128"/>
      <c r="C42" s="155"/>
      <c r="D42" s="210" t="s">
        <v>88</v>
      </c>
      <c r="E42" s="210"/>
      <c r="F42" s="210"/>
      <c r="G42" s="225"/>
      <c r="H42" s="63" t="s">
        <v>89</v>
      </c>
      <c r="I42" s="221"/>
      <c r="J42" s="221"/>
      <c r="K42" s="134"/>
      <c r="L42" s="65" t="s">
        <v>74</v>
      </c>
      <c r="M42" s="68" t="s">
        <v>81</v>
      </c>
      <c r="N42" s="71" t="s">
        <v>50</v>
      </c>
      <c r="O42" s="71" t="s">
        <v>49</v>
      </c>
      <c r="P42" s="71" t="s">
        <v>50</v>
      </c>
      <c r="Q42" s="71" t="s">
        <v>51</v>
      </c>
      <c r="R42" s="71" t="s">
        <v>48</v>
      </c>
      <c r="S42" s="71" t="s">
        <v>51</v>
      </c>
      <c r="T42" s="71" t="s">
        <v>52</v>
      </c>
      <c r="U42" s="76">
        <f>((IF(N42=[1]Datos!$B$233,15,0))/100)+((IF(O42=[1]Datos!$B$229,5,0))/100)+((IF(P42=[1]Datos!$B$233,15,0))/100)+((IF(Q42=[1]Datos!$B$231,10,0))/100)+((IF(R42=[1]Datos!$B$233,15,0))/100)+((IF(S42=[1]Datos!$B$231,10,0))/100)+((IF(T42=[1]Datos!$B$235,30,0))/100)</f>
        <v>0.7</v>
      </c>
      <c r="V42" s="228"/>
      <c r="W42" s="231"/>
      <c r="X42" s="228"/>
      <c r="Y42" s="231"/>
      <c r="Z42" s="207"/>
      <c r="AA42" s="93"/>
      <c r="AB42" s="93"/>
      <c r="AC42" s="93"/>
      <c r="AD42" s="93"/>
      <c r="AE42" s="93"/>
      <c r="AF42" s="93"/>
      <c r="AG42" s="94"/>
    </row>
    <row r="43" spans="1:43" ht="35.25" customHeight="1" x14ac:dyDescent="0.25">
      <c r="A43" s="152"/>
      <c r="B43" s="128"/>
      <c r="C43" s="155"/>
      <c r="D43" s="210" t="s">
        <v>90</v>
      </c>
      <c r="E43" s="210"/>
      <c r="F43" s="210"/>
      <c r="G43" s="225"/>
      <c r="H43" s="63" t="s">
        <v>91</v>
      </c>
      <c r="I43" s="221"/>
      <c r="J43" s="221"/>
      <c r="K43" s="134"/>
      <c r="L43" s="65"/>
      <c r="M43" s="68"/>
      <c r="N43" s="71"/>
      <c r="O43" s="71"/>
      <c r="P43" s="71"/>
      <c r="Q43" s="71"/>
      <c r="R43" s="71"/>
      <c r="S43" s="71"/>
      <c r="T43" s="71"/>
      <c r="U43" s="76">
        <f>((IF(N43=[1]Datos!$B$233,15,0))/100)+((IF(O43=[1]Datos!$B$229,5,0))/100)+((IF(P43=[1]Datos!$B$233,15,0))/100)+((IF(Q43=[1]Datos!$B$231,10,0))/100)+((IF(R43=[1]Datos!$B$233,15,0))/100)+((IF(S43=[1]Datos!$B$231,10,0))/100)+((IF(T43=[1]Datos!$B$235,30,0))/100)</f>
        <v>0</v>
      </c>
      <c r="V43" s="228"/>
      <c r="W43" s="231"/>
      <c r="X43" s="228"/>
      <c r="Y43" s="231"/>
      <c r="Z43" s="207"/>
      <c r="AA43" s="93"/>
      <c r="AB43" s="93"/>
      <c r="AC43" s="93"/>
      <c r="AD43" s="93"/>
      <c r="AE43" s="93"/>
      <c r="AF43" s="93"/>
      <c r="AG43" s="94"/>
    </row>
    <row r="44" spans="1:43" ht="35.25" customHeight="1" x14ac:dyDescent="0.25">
      <c r="A44" s="152"/>
      <c r="B44" s="128"/>
      <c r="C44" s="155"/>
      <c r="D44" s="210" t="s">
        <v>92</v>
      </c>
      <c r="E44" s="210"/>
      <c r="F44" s="210"/>
      <c r="G44" s="225"/>
      <c r="H44" s="63" t="s">
        <v>337</v>
      </c>
      <c r="I44" s="221"/>
      <c r="J44" s="221"/>
      <c r="K44" s="134"/>
      <c r="L44" s="65"/>
      <c r="M44" s="68"/>
      <c r="N44" s="71"/>
      <c r="O44" s="71"/>
      <c r="P44" s="71"/>
      <c r="Q44" s="71"/>
      <c r="R44" s="71"/>
      <c r="S44" s="71"/>
      <c r="T44" s="71"/>
      <c r="U44" s="76">
        <f>((IF(N44=[1]Datos!$B$233,15,0))/100)+((IF(O44=[1]Datos!$B$229,5,0))/100)+((IF(P44=[1]Datos!$B$233,15,0))/100)+((IF(Q44=[1]Datos!$B$231,10,0))/100)+((IF(R44=[1]Datos!$B$233,15,0))/100)+((IF(S44=[1]Datos!$B$231,10,0))/100)+((IF(T44=[1]Datos!$B$235,30,0))/100)</f>
        <v>0</v>
      </c>
      <c r="V44" s="228"/>
      <c r="W44" s="231"/>
      <c r="X44" s="228"/>
      <c r="Y44" s="231"/>
      <c r="Z44" s="207"/>
      <c r="AA44" s="93"/>
      <c r="AB44" s="93"/>
      <c r="AC44" s="93"/>
      <c r="AD44" s="93"/>
      <c r="AE44" s="93"/>
      <c r="AF44" s="93"/>
      <c r="AG44" s="94"/>
    </row>
    <row r="45" spans="1:43" ht="15.75" thickBot="1" x14ac:dyDescent="0.3">
      <c r="A45" s="153"/>
      <c r="B45" s="129"/>
      <c r="C45" s="156"/>
      <c r="D45" s="215"/>
      <c r="E45" s="215"/>
      <c r="F45" s="211"/>
      <c r="G45" s="226"/>
      <c r="H45" s="48"/>
      <c r="I45" s="222"/>
      <c r="J45" s="222"/>
      <c r="K45" s="135"/>
      <c r="L45" s="66"/>
      <c r="M45" s="69"/>
      <c r="N45" s="72"/>
      <c r="O45" s="72"/>
      <c r="P45" s="72"/>
      <c r="Q45" s="72"/>
      <c r="R45" s="72"/>
      <c r="S45" s="72"/>
      <c r="T45" s="72"/>
      <c r="U45" s="77">
        <f>((IF(N45=[1]Datos!$B$233,15,0))/100)+((IF(O45=[1]Datos!$B$229,5,0))/100)+((IF(P45=[1]Datos!$B$233,15,0))/100)+((IF(Q45=[1]Datos!$B$231,10,0))/100)+((IF(R45=[1]Datos!$B$233,15,0))/100)+((IF(S45=[1]Datos!$B$231,10,0))/100)+((IF(T45=[1]Datos!$B$235,30,0))/100)</f>
        <v>0</v>
      </c>
      <c r="V45" s="229"/>
      <c r="W45" s="232"/>
      <c r="X45" s="229"/>
      <c r="Y45" s="232"/>
      <c r="Z45" s="208"/>
      <c r="AA45" s="91"/>
      <c r="AB45" s="91"/>
      <c r="AC45" s="91"/>
      <c r="AD45" s="91"/>
      <c r="AE45" s="91"/>
      <c r="AF45" s="91"/>
      <c r="AG45" s="92"/>
    </row>
    <row r="46" spans="1:43" ht="35.25" customHeight="1" x14ac:dyDescent="0.25">
      <c r="A46" s="151" t="s">
        <v>117</v>
      </c>
      <c r="B46" s="127"/>
      <c r="C46" s="154" t="s">
        <v>537</v>
      </c>
      <c r="D46" s="216" t="s">
        <v>94</v>
      </c>
      <c r="E46" s="216"/>
      <c r="F46" s="209" t="s">
        <v>95</v>
      </c>
      <c r="G46" s="217" t="s">
        <v>374</v>
      </c>
      <c r="H46" s="62" t="s">
        <v>96</v>
      </c>
      <c r="I46" s="220" t="s">
        <v>45</v>
      </c>
      <c r="J46" s="220" t="s">
        <v>97</v>
      </c>
      <c r="K46" s="133" t="str">
        <f>IF(AND(I46=[1]Datos!$B$212,J46=[1]Datos!$B$219),[1]Datos!$D$216,IF(AND(I46=[1]Datos!$B$212,J46=[1]Datos!$B$220),[1]Datos!$E$216,IF(AND(I46=[1]Datos!$B$212,J46=[1]Datos!$B$221),[1]Datos!$F$216,IF(AND(I46=[1]Datos!$B$213,J46=[1]Datos!$B$219),[1]Datos!$D$215,IF(AND(I46=[1]Datos!$B$213,J46=[1]Datos!$B$220),[1]Datos!$E$215,IF(AND(I46=[1]Datos!$B$213,J46=[1]Datos!$B$221),[1]Datos!$F$215,IF(AND(I46=[1]Datos!$B$214,J46=[1]Datos!$B$219),[1]Datos!$D$214,IF(AND(I46=[1]Datos!$B$214,J46=[1]Datos!$B$220),[1]Datos!$E$214,IF(AND(I46=[1]Datos!$B$214,J46=[1]Datos!$B$221),[1]Datos!$F$214,IF(AND(I46=[1]Datos!$B$215,J46=[1]Datos!$B$219),[1]Datos!$D$213,IF(AND(I46=[1]Datos!$B$215,J46=[1]Datos!$B$220),[1]Datos!$E$213,IF(AND(I46=[1]Datos!$B$215,J46=[1]Datos!$B$221),[1]Datos!$F$213,IF(AND(I46=[1]Datos!$B$216,J46=[1]Datos!$B$219),[1]Datos!$D$212,IF(AND(I46=[1]Datos!$B$216,J46=[1]Datos!$B$220),[1]Datos!$E$212,IF(AND(I46=[1]Datos!$B$216,J46=[1]Datos!$B$221),[1]Datos!$F$212,"-")))))))))))))))</f>
        <v>MODERADA 15</v>
      </c>
      <c r="L46" s="64" t="s">
        <v>75</v>
      </c>
      <c r="M46" s="67" t="s">
        <v>47</v>
      </c>
      <c r="N46" s="70" t="s">
        <v>50</v>
      </c>
      <c r="O46" s="70" t="s">
        <v>49</v>
      </c>
      <c r="P46" s="70" t="s">
        <v>50</v>
      </c>
      <c r="Q46" s="70" t="s">
        <v>51</v>
      </c>
      <c r="R46" s="70" t="s">
        <v>50</v>
      </c>
      <c r="S46" s="70" t="s">
        <v>51</v>
      </c>
      <c r="T46" s="70" t="s">
        <v>50</v>
      </c>
      <c r="U46" s="73">
        <f>((IF(N46=[1]Datos!$B$233,15,0))/100)+((IF(O46=[1]Datos!$B$229,5,0))/100)+((IF(P46=[1]Datos!$B$233,15,0))/100)+((IF(Q46=[1]Datos!$B$231,10,0))/100)+((IF(R46=[1]Datos!$B$233,15,0))/100)+((IF(S46=[1]Datos!$B$231,10,0))/100)+((IF(T46=[1]Datos!$B$235,30,0))/100)</f>
        <v>0.25</v>
      </c>
      <c r="V46" s="227">
        <f>IF(ISERROR(((IF(M46=[1]Datos!$B$224,U46,0))+(IF(M47=[1]Datos!$B$224,U47,0))+(IF(M48=[1]Datos!$B$224,U48,0))+(IF(M49=[1]Datos!$B$224,U49,0))+(IF(M50=[1]Datos!$B$224,U50,0))+(IF(M51=[1]Datos!$B$224,U51,0)))/((IF(M46=[1]Datos!$B$224,1,0))+(IF(M47=[1]Datos!$B$224,1,0))+(IF(M48=[1]Datos!$B$224,1,0))+(IF(M49=[1]Datos!$B$224,1,0))+(IF(M50=[1]Datos!$B$224,1,0))+(IF(M51=[1]Datos!$B$224,1,0)))),0,(((IF(M46=[1]Datos!$B$224,U46,0))+(IF(M47=[1]Datos!$B$224,U47,0))+(IF(M48=[1]Datos!$B$224,U48,0))+(IF(M49=[1]Datos!$B$224,U49,0))+(IF(M50=[1]Datos!$B$224,U50,0))+(IF(M51=[1]Datos!$B$224,U51,0)))/((IF(M46=[1]Datos!$B$224,1,0))+(IF(M47=[1]Datos!$B$224,1,0))+(IF(M48=[1]Datos!$B$224,1,0))+(IF(M49=[1]Datos!$B$224,1,0))+(IF(M50=[1]Datos!$B$224,1,0))+(IF(M51=[1]Datos!$B$224,1,0)))))</f>
        <v>0.25</v>
      </c>
      <c r="W46" s="230" t="str">
        <f>IF(I46="","-",(IF(V46&gt;0,(IF(I46=[1]Datos!$B$212,[1]Datos!$B$212,IF(AND(I46=[1]Datos!$B$213,V46&gt;0.49),[1]Datos!$B$212,IF(AND(I46=[1]Datos!$B$214,V46&gt;0.74),[1]Datos!$B$212,IF(AND(I46=[1]Datos!$B$214,V46&lt;0.75,V46&gt;0.49),[1]Datos!$B$213,IF(AND(I46=[1]Datos!$B$215,V46&gt;0.74),[1]Datos!$B$213,IF(AND(I46=[1]Datos!$B$215,V46&lt;0.75,V46&gt;0.49),[1]Datos!$B$214,IF(AND(I46=[1]Datos!$B$216,V46&gt;0.74),[1]Datos!$B$214,IF(AND(I46=[1]Datos!$B$216,V46&lt;0.75,V46&gt;0.49),[1]Datos!$B$215,I46))))))))),I46)))</f>
        <v>Posible - 3</v>
      </c>
      <c r="X46" s="227">
        <f>IF(ISERROR(((IF(M46=[1]Datos!$B$225,U46,0))+(IF(M47=[1]Datos!$B$225,U47,0))+(IF(M48=[1]Datos!$B$225,U48,0))+(IF(M49=[1]Datos!$B$225,U49,0))+(IF(M50=[1]Datos!$B$225,U50,0))+(IF(M51=[1]Datos!$B$225,U51,0))+(IF(M46=[1]Datos!$B$226,U46,0))+(IF(M47=[1]Datos!$B$226,U47,0))+(IF(M48=[1]Datos!$B$226,U48,0))+(IF(M49=[1]Datos!$B$226,U49,0))+(IF(M50=[1]Datos!$B$226,U50,0))+(IF(M51=[1]Datos!$B$226,U51,0)))/((IF(M46=[1]Datos!$B$225,1,0))+(IF(M47=[1]Datos!$B$225,1,0))+(IF(M48=[1]Datos!$B$225,1,0))+(IF(M49=[1]Datos!$B$225,1,0))+(IF(M50=[1]Datos!$B$225,1,0))+(IF(M51=[1]Datos!$B$225,1,0))+(IF(M46=[1]Datos!$B$226,1,0))+(IF(M47=[1]Datos!$B$226,1,0))+(IF(M48=[1]Datos!$B$226,1,0))+(IF(M49=[1]Datos!$B$226,1,0))+(IF(M50=[1]Datos!$B$226,1,0))+(IF(M51=[1]Datos!$B$226,1,0)))),0,((IF(M46=[1]Datos!$B$225,U46,0))+(IF(M47=[1]Datos!$B$225,U47,0))+(IF(M48=[1]Datos!$B$225,U48,0))+(IF(M49=[1]Datos!$B$225,U49,0))+(IF(M50=[1]Datos!$B$225,U50,0))+(IF(M51=[1]Datos!$B$225,U51,0))+(IF(M46=[1]Datos!$B$226,U46,0))+(IF(M47=[1]Datos!$B$226,U47,0))+(IF(M48=[1]Datos!$B$226,U48,0))+(IF(M49=[1]Datos!$B$226,U49,0))+(IF(M50=[1]Datos!$B$226,U50,0))+(IF(M51=[1]Datos!$B$226,U51,0)))/((IF(M46=[1]Datos!$B$225,1,0))+(IF(M47=[1]Datos!$B$225,1,0))+(IF(M48=[1]Datos!$B$225,1,0))+(IF(M49=[1]Datos!$B$225,1,0))+(IF(M50=[1]Datos!$B$225,1,0))+(IF(M51=[1]Datos!$B$225,1,0))+(IF(M46=[1]Datos!$B$226,1,0))+(IF(M47=[1]Datos!$B$226,1,0))+(IF(M48=[1]Datos!$B$226,1,0))+(IF(M49=[1]Datos!$B$226,1,0))+(IF(M50=[1]Datos!$B$226,1,0))+(IF(M51=[1]Datos!$B$226,1,0))))</f>
        <v>0.85000000000000009</v>
      </c>
      <c r="Y46" s="230" t="str">
        <f>IF(J46="","-",(IF(X46&gt;0,(IF(J46=[1]Datos!$B$219,[1]Datos!$B$219,IF(AND(J46=[1]Datos!$B$220,X46&gt;0.49),[1]Datos!$B$219,IF(AND(J46=[1]Datos!$B$221,X46&gt;0.74),[1]Datos!$B$219,IF(AND(J46=[1]Datos!$B$221,X46&lt;0.75,X46&gt;0.49),[1]Datos!$B$220,IF(AND(J46=[1]Datos!$B$222,X46&gt;0.74),[1]Datos!$B$220,IF(AND(J46=[1]Datos!$B$222,X46&lt;0.75,X46&gt;0.49),[1]Datos!$B$221,IF(AND(J46=[1]Datos!$B$223,X46&gt;0.74),[1]Datos!$B$221,IF(AND(J46=[1]Datos!$B$223,X46&lt;0.75,X46&gt;0.49),[1]Datos!$B$222,J46))))))))),J46)))</f>
        <v>Moderado - 5</v>
      </c>
      <c r="Z46" s="206" t="str">
        <f>IF(AND(W46=[1]Datos!$B$212,Y46=[1]Datos!$B$219),[1]Datos!$D$216,IF(AND(W46=[1]Datos!$B$212,Y46=[1]Datos!$B$220),[1]Datos!$E$216,IF(AND(W46=[1]Datos!$B$212,Y46=[1]Datos!$B$221),[1]Datos!$F$216,IF(AND(W46=[1]Datos!$B$213,Y46=[1]Datos!$B$219),[1]Datos!$D$215,IF(AND(W46=[1]Datos!$B$213,Y46=[1]Datos!$B$220),[1]Datos!$E$215,IF(AND(W46=[1]Datos!$B$213,Y46=[1]Datos!$B$221),[1]Datos!$F$215,IF(AND(W46=[1]Datos!$B$214,Y46=[1]Datos!$B$219),[1]Datos!$D$214,IF(AND(W46=[1]Datos!$B$214,Y46=[1]Datos!$B$220),[1]Datos!$E$214,IF(AND(W46=[1]Datos!$B$214,Y46=[1]Datos!$B$221),[1]Datos!$F$214,IF(AND(W46=[1]Datos!$B$215,Y46=[1]Datos!$B$219),[1]Datos!$D$213,IF(AND(W46=[1]Datos!$B$215,Y46=[1]Datos!$B$220),[1]Datos!$E$213,IF(AND(W46=[1]Datos!$B$215,Y46=[1]Datos!$B$221),[1]Datos!$F$213,IF(AND(W46=[1]Datos!$B$216,Y46=[1]Datos!$B$219),[1]Datos!$D$212,IF(AND(W46=[1]Datos!$B$216,Y46=[1]Datos!$B$220),[1]Datos!$E$212,IF(AND(W46=[1]Datos!$B$216,Y46=[1]Datos!$B$221),[1]Datos!$F$212,"-")))))))))))))))</f>
        <v>MODERADA 15</v>
      </c>
      <c r="AA46" s="74"/>
      <c r="AB46" s="74"/>
      <c r="AC46" s="74"/>
      <c r="AD46" s="74"/>
      <c r="AE46" s="74"/>
      <c r="AF46" s="74"/>
      <c r="AG46" s="75"/>
    </row>
    <row r="47" spans="1:43" ht="35.25" customHeight="1" x14ac:dyDescent="0.25">
      <c r="A47" s="152"/>
      <c r="B47" s="128"/>
      <c r="C47" s="155"/>
      <c r="D47" s="223" t="s">
        <v>372</v>
      </c>
      <c r="E47" s="223"/>
      <c r="F47" s="210"/>
      <c r="G47" s="218"/>
      <c r="H47" s="63" t="s">
        <v>98</v>
      </c>
      <c r="I47" s="221"/>
      <c r="J47" s="221"/>
      <c r="K47" s="134"/>
      <c r="L47" s="65" t="s">
        <v>76</v>
      </c>
      <c r="M47" s="68" t="s">
        <v>81</v>
      </c>
      <c r="N47" s="71" t="s">
        <v>48</v>
      </c>
      <c r="O47" s="71" t="s">
        <v>49</v>
      </c>
      <c r="P47" s="71" t="s">
        <v>50</v>
      </c>
      <c r="Q47" s="71" t="s">
        <v>51</v>
      </c>
      <c r="R47" s="71" t="s">
        <v>48</v>
      </c>
      <c r="S47" s="71" t="s">
        <v>51</v>
      </c>
      <c r="T47" s="71" t="s">
        <v>52</v>
      </c>
      <c r="U47" s="76">
        <f>((IF(N47=[1]Datos!$B$233,15,0))/100)+((IF(O47=[1]Datos!$B$229,5,0))/100)+((IF(P47=[1]Datos!$B$233,15,0))/100)+((IF(Q47=[1]Datos!$B$231,10,0))/100)+((IF(R47=[1]Datos!$B$233,15,0))/100)+((IF(S47=[1]Datos!$B$231,10,0))/100)+((IF(T47=[1]Datos!$B$235,30,0))/100)</f>
        <v>0.85000000000000009</v>
      </c>
      <c r="V47" s="228"/>
      <c r="W47" s="231"/>
      <c r="X47" s="228"/>
      <c r="Y47" s="231"/>
      <c r="Z47" s="207"/>
      <c r="AA47" s="93"/>
      <c r="AB47" s="93"/>
      <c r="AC47" s="93"/>
      <c r="AD47" s="93"/>
      <c r="AE47" s="93"/>
      <c r="AF47" s="93"/>
      <c r="AG47" s="94"/>
    </row>
    <row r="48" spans="1:43" ht="37.5" customHeight="1" x14ac:dyDescent="0.25">
      <c r="A48" s="152"/>
      <c r="B48" s="128"/>
      <c r="C48" s="155"/>
      <c r="D48" s="223" t="s">
        <v>99</v>
      </c>
      <c r="E48" s="223"/>
      <c r="F48" s="210"/>
      <c r="G48" s="218"/>
      <c r="H48" s="63" t="s">
        <v>93</v>
      </c>
      <c r="I48" s="221"/>
      <c r="J48" s="221"/>
      <c r="K48" s="134"/>
      <c r="L48" s="65" t="s">
        <v>376</v>
      </c>
      <c r="M48" s="68" t="s">
        <v>81</v>
      </c>
      <c r="N48" s="71" t="s">
        <v>48</v>
      </c>
      <c r="O48" s="71" t="s">
        <v>49</v>
      </c>
      <c r="P48" s="71" t="s">
        <v>50</v>
      </c>
      <c r="Q48" s="71" t="s">
        <v>51</v>
      </c>
      <c r="R48" s="71" t="s">
        <v>48</v>
      </c>
      <c r="S48" s="71" t="s">
        <v>51</v>
      </c>
      <c r="T48" s="71" t="s">
        <v>52</v>
      </c>
      <c r="U48" s="76">
        <f>((IF(N48=[1]Datos!$B$233,15,0))/100)+((IF(O48=[1]Datos!$B$229,5,0))/100)+((IF(P48=[1]Datos!$B$233,15,0))/100)+((IF(Q48=[1]Datos!$B$231,10,0))/100)+((IF(R48=[1]Datos!$B$233,15,0))/100)+((IF(S48=[1]Datos!$B$231,10,0))/100)+((IF(T48=[1]Datos!$B$235,30,0))/100)</f>
        <v>0.85000000000000009</v>
      </c>
      <c r="V48" s="228"/>
      <c r="W48" s="231"/>
      <c r="X48" s="228"/>
      <c r="Y48" s="231"/>
      <c r="Z48" s="207"/>
      <c r="AA48" s="93"/>
      <c r="AB48" s="93"/>
      <c r="AC48" s="93"/>
      <c r="AD48" s="93"/>
      <c r="AE48" s="93"/>
      <c r="AF48" s="93"/>
      <c r="AG48" s="94"/>
    </row>
    <row r="49" spans="1:33" ht="41.25" customHeight="1" x14ac:dyDescent="0.25">
      <c r="A49" s="152"/>
      <c r="B49" s="128"/>
      <c r="C49" s="155"/>
      <c r="D49" s="223" t="s">
        <v>373</v>
      </c>
      <c r="E49" s="223"/>
      <c r="F49" s="210"/>
      <c r="G49" s="218"/>
      <c r="H49" s="63" t="s">
        <v>100</v>
      </c>
      <c r="I49" s="221"/>
      <c r="J49" s="221"/>
      <c r="K49" s="134"/>
      <c r="L49" s="46"/>
      <c r="M49" s="68"/>
      <c r="N49" s="71"/>
      <c r="O49" s="71"/>
      <c r="P49" s="71"/>
      <c r="Q49" s="71"/>
      <c r="R49" s="71"/>
      <c r="S49" s="71"/>
      <c r="T49" s="71"/>
      <c r="U49" s="76">
        <f>((IF(N49=[1]Datos!$B$233,15,0))/100)+((IF(O49=[1]Datos!$B$229,5,0))/100)+((IF(P49=[1]Datos!$B$233,15,0))/100)+((IF(Q49=[1]Datos!$B$231,10,0))/100)+((IF(R49=[1]Datos!$B$233,15,0))/100)+((IF(S49=[1]Datos!$B$231,10,0))/100)+((IF(T49=[1]Datos!$B$235,30,0))/100)</f>
        <v>0</v>
      </c>
      <c r="V49" s="228"/>
      <c r="W49" s="231"/>
      <c r="X49" s="228"/>
      <c r="Y49" s="231"/>
      <c r="Z49" s="207"/>
      <c r="AA49" s="93"/>
      <c r="AB49" s="93"/>
      <c r="AC49" s="93"/>
      <c r="AD49" s="93"/>
      <c r="AE49" s="93"/>
      <c r="AF49" s="93"/>
      <c r="AG49" s="94"/>
    </row>
    <row r="50" spans="1:33" ht="24.75" customHeight="1" x14ac:dyDescent="0.25">
      <c r="A50" s="152"/>
      <c r="B50" s="128"/>
      <c r="C50" s="155"/>
      <c r="D50" s="210" t="s">
        <v>101</v>
      </c>
      <c r="E50" s="210"/>
      <c r="F50" s="210"/>
      <c r="G50" s="218"/>
      <c r="H50" s="63"/>
      <c r="I50" s="221"/>
      <c r="J50" s="221"/>
      <c r="K50" s="134"/>
      <c r="L50" s="46"/>
      <c r="M50" s="68"/>
      <c r="N50" s="71"/>
      <c r="O50" s="71"/>
      <c r="P50" s="71"/>
      <c r="Q50" s="71"/>
      <c r="R50" s="71"/>
      <c r="S50" s="71"/>
      <c r="T50" s="71"/>
      <c r="U50" s="76">
        <f>((IF(N50=[1]Datos!$B$233,15,0))/100)+((IF(O50=[1]Datos!$B$229,5,0))/100)+((IF(P50=[1]Datos!$B$233,15,0))/100)+((IF(Q50=[1]Datos!$B$231,10,0))/100)+((IF(R50=[1]Datos!$B$233,15,0))/100)+((IF(S50=[1]Datos!$B$231,10,0))/100)+((IF(T50=[1]Datos!$B$235,30,0))/100)</f>
        <v>0</v>
      </c>
      <c r="V50" s="228"/>
      <c r="W50" s="231"/>
      <c r="X50" s="228"/>
      <c r="Y50" s="231"/>
      <c r="Z50" s="207"/>
      <c r="AA50" s="93"/>
      <c r="AB50" s="93"/>
      <c r="AC50" s="93"/>
      <c r="AD50" s="93"/>
      <c r="AE50" s="93"/>
      <c r="AF50" s="93"/>
      <c r="AG50" s="94"/>
    </row>
    <row r="51" spans="1:33" ht="42" customHeight="1" thickBot="1" x14ac:dyDescent="0.3">
      <c r="A51" s="153"/>
      <c r="B51" s="129"/>
      <c r="C51" s="156"/>
      <c r="D51" s="211" t="s">
        <v>102</v>
      </c>
      <c r="E51" s="211"/>
      <c r="F51" s="211"/>
      <c r="G51" s="219"/>
      <c r="H51" s="78"/>
      <c r="I51" s="222"/>
      <c r="J51" s="222"/>
      <c r="K51" s="135"/>
      <c r="L51" s="47"/>
      <c r="M51" s="69"/>
      <c r="N51" s="72"/>
      <c r="O51" s="72"/>
      <c r="P51" s="72"/>
      <c r="Q51" s="72"/>
      <c r="R51" s="72"/>
      <c r="S51" s="72"/>
      <c r="T51" s="72"/>
      <c r="U51" s="77">
        <f>((IF(N51=[1]Datos!$B$233,15,0))/100)+((IF(O51=[1]Datos!$B$229,5,0))/100)+((IF(P51=[1]Datos!$B$233,15,0))/100)+((IF(Q51=[1]Datos!$B$231,10,0))/100)+((IF(R51=[1]Datos!$B$233,15,0))/100)+((IF(S51=[1]Datos!$B$231,10,0))/100)+((IF(T51=[1]Datos!$B$235,30,0))/100)</f>
        <v>0</v>
      </c>
      <c r="V51" s="229"/>
      <c r="W51" s="232"/>
      <c r="X51" s="229"/>
      <c r="Y51" s="232"/>
      <c r="Z51" s="208"/>
      <c r="AA51" s="91"/>
      <c r="AB51" s="91"/>
      <c r="AC51" s="91"/>
      <c r="AD51" s="91"/>
      <c r="AE51" s="91"/>
      <c r="AF51" s="91"/>
      <c r="AG51" s="92"/>
    </row>
    <row r="52" spans="1:33" ht="34.5" customHeight="1" x14ac:dyDescent="0.25">
      <c r="A52" s="151" t="s">
        <v>117</v>
      </c>
      <c r="B52" s="127"/>
      <c r="C52" s="154" t="s">
        <v>537</v>
      </c>
      <c r="D52" s="209" t="s">
        <v>103</v>
      </c>
      <c r="E52" s="209"/>
      <c r="F52" s="209" t="s">
        <v>104</v>
      </c>
      <c r="G52" s="209" t="s">
        <v>105</v>
      </c>
      <c r="H52" s="62" t="s">
        <v>106</v>
      </c>
      <c r="I52" s="212" t="s">
        <v>45</v>
      </c>
      <c r="J52" s="212" t="s">
        <v>46</v>
      </c>
      <c r="K52" s="206" t="str">
        <f>IF(AND(I52=[1]Datos!$B$212,J52=[1]Datos!$B$219),[1]Datos!$D$216,IF(AND(I52=[1]Datos!$B$212,J52=[1]Datos!$B$220),[1]Datos!$E$216,IF(AND(I52=[1]Datos!$B$212,J52=[1]Datos!$B$221),[1]Datos!$F$216,IF(AND(I52=[1]Datos!$B$213,J52=[1]Datos!$B$219),[1]Datos!$D$215,IF(AND(I52=[1]Datos!$B$213,J52=[1]Datos!$B$220),[1]Datos!$E$215,IF(AND(I52=[1]Datos!$B$213,J52=[1]Datos!$B$221),[1]Datos!$F$215,IF(AND(I52=[1]Datos!$B$214,J52=[1]Datos!$B$219),[1]Datos!$D$214,IF(AND(I52=[1]Datos!$B$214,J52=[1]Datos!$B$220),[1]Datos!$E$214,IF(AND(I52=[1]Datos!$B$214,J52=[1]Datos!$B$221),[1]Datos!$F$214,IF(AND(I52=[1]Datos!$B$215,J52=[1]Datos!$B$219),[1]Datos!$D$213,IF(AND(I52=[1]Datos!$B$215,J52=[1]Datos!$B$220),[1]Datos!$E$213,IF(AND(I52=[1]Datos!$B$215,J52=[1]Datos!$B$221),[1]Datos!$F$213,IF(AND(I52=[1]Datos!$B$216,J52=[1]Datos!$B$219),[1]Datos!$D$212,IF(AND(I52=[1]Datos!$B$216,J52=[1]Datos!$B$220),[1]Datos!$E$212,IF(AND(I52=[1]Datos!$B$216,J52=[1]Datos!$B$221),[1]Datos!$F$212,"-")))))))))))))))</f>
        <v>EXTREMA 60</v>
      </c>
      <c r="L52" s="64" t="s">
        <v>77</v>
      </c>
      <c r="M52" s="67" t="s">
        <v>47</v>
      </c>
      <c r="N52" s="70" t="s">
        <v>50</v>
      </c>
      <c r="O52" s="70" t="s">
        <v>50</v>
      </c>
      <c r="P52" s="70" t="s">
        <v>50</v>
      </c>
      <c r="Q52" s="70" t="s">
        <v>51</v>
      </c>
      <c r="R52" s="70" t="s">
        <v>48</v>
      </c>
      <c r="S52" s="70" t="s">
        <v>50</v>
      </c>
      <c r="T52" s="70" t="s">
        <v>52</v>
      </c>
      <c r="U52" s="73">
        <f>((IF(N52=[1]Datos!$B$233,15,0))/100)+((IF(O52=[1]Datos!$B$229,5,0))/100)+((IF(P52=[1]Datos!$B$233,15,0))/100)+((IF(Q52=[1]Datos!$B$231,10,0))/100)+((IF(R52=[1]Datos!$B$233,15,0))/100)+((IF(S52=[1]Datos!$B$231,10,0))/100)+((IF(T52=[1]Datos!$B$235,30,0))/100)</f>
        <v>0.55000000000000004</v>
      </c>
      <c r="V52" s="227">
        <f>IF(ISERROR(((IF(M52=[1]Datos!$B$224,U52,0))+(IF(M53=[1]Datos!$B$224,U53,0))+(IF(M54=[1]Datos!$B$224,U54,0))+(IF(M55=[1]Datos!$B$224,U55,0))+(IF(M56=[1]Datos!$B$224,U56,0))+(IF(M57=[1]Datos!$B$224,U57,0)))/((IF(M52=[1]Datos!$B$224,1,0))+(IF(M53=[1]Datos!$B$224,1,0))+(IF(M54=[1]Datos!$B$224,1,0))+(IF(M55=[1]Datos!$B$224,1,0))+(IF(M56=[1]Datos!$B$224,1,0))+(IF(M57=[1]Datos!$B$224,1,0)))),0,(((IF(M52=[1]Datos!$B$224,U52,0))+(IF(M53=[1]Datos!$B$224,U53,0))+(IF(M54=[1]Datos!$B$224,U54,0))+(IF(M55=[1]Datos!$B$224,U55,0))+(IF(M56=[1]Datos!$B$224,U56,0))+(IF(M57=[1]Datos!$B$224,U57,0)))/((IF(M52=[1]Datos!$B$224,1,0))+(IF(M53=[1]Datos!$B$224,1,0))+(IF(M54=[1]Datos!$B$224,1,0))+(IF(M55=[1]Datos!$B$224,1,0))+(IF(M56=[1]Datos!$B$224,1,0))+(IF(M57=[1]Datos!$B$224,1,0)))))</f>
        <v>0.57500000000000007</v>
      </c>
      <c r="W52" s="230" t="str">
        <f>IF(I52="","-",(IF(V52&gt;0,(IF(I52=[1]Datos!$B$212,[1]Datos!$B$212,IF(AND(I52=[1]Datos!$B$213,V52&gt;0.49),[1]Datos!$B$212,IF(AND(I52=[1]Datos!$B$214,V52&gt;0.74),[1]Datos!$B$212,IF(AND(I52=[1]Datos!$B$214,V52&lt;0.75,V52&gt;0.49),[1]Datos!$B$213,IF(AND(I52=[1]Datos!$B$215,V52&gt;0.74),[1]Datos!$B$213,IF(AND(I52=[1]Datos!$B$215,V52&lt;0.75,V52&gt;0.49),[1]Datos!$B$214,IF(AND(I52=[1]Datos!$B$216,V52&gt;0.74),[1]Datos!$B$214,IF(AND(I52=[1]Datos!$B$216,V52&lt;0.75,V52&gt;0.49),[1]Datos!$B$215,I52))))))))),I52)))</f>
        <v>Improbable - 2</v>
      </c>
      <c r="X52" s="227">
        <f>IF(ISERROR(((IF(M52=[1]Datos!$B$225,U52,0))+(IF(M53=[1]Datos!$B$225,U53,0))+(IF(M54=[1]Datos!$B$225,U54,0))+(IF(M55=[1]Datos!$B$225,U55,0))+(IF(M56=[1]Datos!$B$225,U56,0))+(IF(M57=[1]Datos!$B$225,U57,0))+(IF(M52=[1]Datos!$B$226,U52,0))+(IF(M53=[1]Datos!$B$226,U53,0))+(IF(M54=[1]Datos!$B$226,U54,0))+(IF(M55=[1]Datos!$B$226,U55,0))+(IF(M56=[1]Datos!$B$226,U56,0))+(IF(M57=[1]Datos!$B$226,U57,0)))/((IF(M52=[1]Datos!$B$225,1,0))+(IF(M53=[1]Datos!$B$225,1,0))+(IF(M54=[1]Datos!$B$225,1,0))+(IF(M55=[1]Datos!$B$225,1,0))+(IF(M56=[1]Datos!$B$225,1,0))+(IF(M57=[1]Datos!$B$225,1,0))+(IF(M52=[1]Datos!$B$226,1,0))+(IF(M53=[1]Datos!$B$226,1,0))+(IF(M54=[1]Datos!$B$226,1,0))+(IF(M55=[1]Datos!$B$226,1,0))+(IF(M56=[1]Datos!$B$226,1,0))+(IF(M57=[1]Datos!$B$226,1,0)))),0,((IF(M52=[1]Datos!$B$225,U52,0))+(IF(M53=[1]Datos!$B$225,U53,0))+(IF(M54=[1]Datos!$B$225,U54,0))+(IF(M55=[1]Datos!$B$225,U55,0))+(IF(M56=[1]Datos!$B$225,U56,0))+(IF(M57=[1]Datos!$B$225,U57,0))+(IF(M52=[1]Datos!$B$226,U52,0))+(IF(M53=[1]Datos!$B$226,U53,0))+(IF(M54=[1]Datos!$B$226,U54,0))+(IF(M55=[1]Datos!$B$226,U55,0))+(IF(M56=[1]Datos!$B$226,U56,0))+(IF(M57=[1]Datos!$B$226,U57,0)))/((IF(M52=[1]Datos!$B$225,1,0))+(IF(M53=[1]Datos!$B$225,1,0))+(IF(M54=[1]Datos!$B$225,1,0))+(IF(M55=[1]Datos!$B$225,1,0))+(IF(M56=[1]Datos!$B$225,1,0))+(IF(M57=[1]Datos!$B$225,1,0))+(IF(M52=[1]Datos!$B$226,1,0))+(IF(M53=[1]Datos!$B$226,1,0))+(IF(M54=[1]Datos!$B$226,1,0))+(IF(M55=[1]Datos!$B$226,1,0))+(IF(M56=[1]Datos!$B$226,1,0))+(IF(M57=[1]Datos!$B$226,1,0))))</f>
        <v>0.45000000000000007</v>
      </c>
      <c r="Y52" s="230" t="str">
        <f>IF(J52="","-",(IF(X52&gt;0,(IF(J52=[1]Datos!$B$219,[1]Datos!$B$219,IF(AND(J52=[1]Datos!$B$220,X52&gt;0.49),[1]Datos!$B$219,IF(AND(J52=[1]Datos!$B$221,X52&gt;0.74),[1]Datos!$B$219,IF(AND(J52=[1]Datos!$B$221,X52&lt;0.75,X52&gt;0.49),[1]Datos!$B$220,IF(AND(J52=[1]Datos!$B$222,X52&gt;0.74),[1]Datos!$B$220,IF(AND(J52=[1]Datos!$B$222,X52&lt;0.75,X52&gt;0.49),[1]Datos!$B$221,IF(AND(J52=[1]Datos!$B$223,X52&gt;0.74),[1]Datos!$B$221,IF(AND(J52=[1]Datos!$B$223,X52&lt;0.75,X52&gt;0.49),[1]Datos!$B$222,J52))))))))),J52)))</f>
        <v>Catastrófico - 20</v>
      </c>
      <c r="Z52" s="206" t="str">
        <f>IF(AND(W52=[1]Datos!$B$212,Y52=[1]Datos!$B$219),[1]Datos!$D$216,IF(AND(W52=[1]Datos!$B$212,Y52=[1]Datos!$B$220),[1]Datos!$E$216,IF(AND(W52=[1]Datos!$B$212,Y52=[1]Datos!$B$221),[1]Datos!$F$216,IF(AND(W52=[1]Datos!$B$213,Y52=[1]Datos!$B$219),[1]Datos!$D$215,IF(AND(W52=[1]Datos!$B$213,Y52=[1]Datos!$B$220),[1]Datos!$E$215,IF(AND(W52=[1]Datos!$B$213,Y52=[1]Datos!$B$221),[1]Datos!$F$215,IF(AND(W52=[1]Datos!$B$214,Y52=[1]Datos!$B$219),[1]Datos!$D$214,IF(AND(W52=[1]Datos!$B$214,Y52=[1]Datos!$B$220),[1]Datos!$E$214,IF(AND(W52=[1]Datos!$B$214,Y52=[1]Datos!$B$221),[1]Datos!$F$214,IF(AND(W52=[1]Datos!$B$215,Y52=[1]Datos!$B$219),[1]Datos!$D$213,IF(AND(W52=[1]Datos!$B$215,Y52=[1]Datos!$B$220),[1]Datos!$E$213,IF(AND(W52=[1]Datos!$B$215,Y52=[1]Datos!$B$221),[1]Datos!$F$213,IF(AND(W52=[1]Datos!$B$216,Y52=[1]Datos!$B$219),[1]Datos!$D$212,IF(AND(W52=[1]Datos!$B$216,Y52=[1]Datos!$B$220),[1]Datos!$E$212,IF(AND(W52=[1]Datos!$B$216,Y52=[1]Datos!$B$221),[1]Datos!$F$212,"-")))))))))))))))</f>
        <v>ALTA 40</v>
      </c>
      <c r="AA52" s="74"/>
      <c r="AB52" s="74"/>
      <c r="AC52" s="74"/>
      <c r="AD52" s="74"/>
      <c r="AE52" s="74"/>
      <c r="AF52" s="74"/>
      <c r="AG52" s="75"/>
    </row>
    <row r="53" spans="1:33" ht="35.25" customHeight="1" x14ac:dyDescent="0.25">
      <c r="A53" s="152"/>
      <c r="B53" s="128"/>
      <c r="C53" s="155"/>
      <c r="D53" s="210" t="s">
        <v>107</v>
      </c>
      <c r="E53" s="210"/>
      <c r="F53" s="210"/>
      <c r="G53" s="210"/>
      <c r="H53" s="63" t="s">
        <v>108</v>
      </c>
      <c r="I53" s="213"/>
      <c r="J53" s="213"/>
      <c r="K53" s="207"/>
      <c r="L53" s="65" t="s">
        <v>78</v>
      </c>
      <c r="M53" s="68" t="s">
        <v>47</v>
      </c>
      <c r="N53" s="71" t="s">
        <v>50</v>
      </c>
      <c r="O53" s="71" t="s">
        <v>49</v>
      </c>
      <c r="P53" s="71" t="s">
        <v>50</v>
      </c>
      <c r="Q53" s="71" t="s">
        <v>51</v>
      </c>
      <c r="R53" s="71" t="s">
        <v>48</v>
      </c>
      <c r="S53" s="71" t="s">
        <v>50</v>
      </c>
      <c r="T53" s="71" t="s">
        <v>52</v>
      </c>
      <c r="U53" s="76">
        <f>((IF(N53=[1]Datos!$B$233,15,0))/100)+((IF(O53=[1]Datos!$B$229,5,0))/100)+((IF(P53=[1]Datos!$B$233,15,0))/100)+((IF(Q53=[1]Datos!$B$231,10,0))/100)+((IF(R53=[1]Datos!$B$233,15,0))/100)+((IF(S53=[1]Datos!$B$231,10,0))/100)+((IF(T53=[1]Datos!$B$235,30,0))/100)</f>
        <v>0.60000000000000009</v>
      </c>
      <c r="V53" s="228"/>
      <c r="W53" s="231"/>
      <c r="X53" s="228"/>
      <c r="Y53" s="231"/>
      <c r="Z53" s="207"/>
      <c r="AA53" s="93"/>
      <c r="AB53" s="93"/>
      <c r="AC53" s="93"/>
      <c r="AD53" s="93"/>
      <c r="AE53" s="93"/>
      <c r="AF53" s="93"/>
      <c r="AG53" s="94"/>
    </row>
    <row r="54" spans="1:33" ht="34.5" customHeight="1" x14ac:dyDescent="0.25">
      <c r="A54" s="152"/>
      <c r="B54" s="128"/>
      <c r="C54" s="155"/>
      <c r="D54" s="210" t="s">
        <v>109</v>
      </c>
      <c r="E54" s="210"/>
      <c r="F54" s="210"/>
      <c r="G54" s="210"/>
      <c r="H54" s="63" t="s">
        <v>110</v>
      </c>
      <c r="I54" s="213"/>
      <c r="J54" s="213"/>
      <c r="K54" s="207"/>
      <c r="L54" s="65" t="s">
        <v>79</v>
      </c>
      <c r="M54" s="68" t="s">
        <v>81</v>
      </c>
      <c r="N54" s="71" t="s">
        <v>48</v>
      </c>
      <c r="O54" s="71" t="s">
        <v>49</v>
      </c>
      <c r="P54" s="71" t="s">
        <v>50</v>
      </c>
      <c r="Q54" s="71" t="s">
        <v>51</v>
      </c>
      <c r="R54" s="71" t="s">
        <v>48</v>
      </c>
      <c r="S54" s="71" t="s">
        <v>50</v>
      </c>
      <c r="T54" s="71" t="s">
        <v>50</v>
      </c>
      <c r="U54" s="76">
        <f>((IF(N54=[1]Datos!$B$233,15,0))/100)+((IF(O54=[1]Datos!$B$229,5,0))/100)+((IF(P54=[1]Datos!$B$233,15,0))/100)+((IF(Q54=[1]Datos!$B$231,10,0))/100)+((IF(R54=[1]Datos!$B$233,15,0))/100)+((IF(S54=[1]Datos!$B$231,10,0))/100)+((IF(T54=[1]Datos!$B$235,30,0))/100)</f>
        <v>0.45000000000000007</v>
      </c>
      <c r="V54" s="228"/>
      <c r="W54" s="231"/>
      <c r="X54" s="228"/>
      <c r="Y54" s="231"/>
      <c r="Z54" s="207"/>
      <c r="AA54" s="93"/>
      <c r="AB54" s="93"/>
      <c r="AC54" s="93"/>
      <c r="AD54" s="93"/>
      <c r="AE54" s="93"/>
      <c r="AF54" s="93"/>
      <c r="AG54" s="94"/>
    </row>
    <row r="55" spans="1:33" ht="35.25" customHeight="1" x14ac:dyDescent="0.25">
      <c r="A55" s="152"/>
      <c r="B55" s="128"/>
      <c r="C55" s="155"/>
      <c r="D55" s="210" t="s">
        <v>101</v>
      </c>
      <c r="E55" s="210"/>
      <c r="F55" s="210"/>
      <c r="G55" s="210"/>
      <c r="H55" s="63" t="s">
        <v>100</v>
      </c>
      <c r="I55" s="213"/>
      <c r="J55" s="213"/>
      <c r="K55" s="207"/>
      <c r="L55" s="65"/>
      <c r="M55" s="68"/>
      <c r="N55" s="71"/>
      <c r="O55" s="71"/>
      <c r="P55" s="71"/>
      <c r="Q55" s="71"/>
      <c r="R55" s="71"/>
      <c r="S55" s="71"/>
      <c r="T55" s="71"/>
      <c r="U55" s="76">
        <f>((IF(N55=[1]Datos!$B$233,15,0))/100)+((IF(O55=[1]Datos!$B$229,5,0))/100)+((IF(P55=[1]Datos!$B$233,15,0))/100)+((IF(Q55=[1]Datos!$B$231,10,0))/100)+((IF(R55=[1]Datos!$B$233,15,0))/100)+((IF(S55=[1]Datos!$B$231,10,0))/100)+((IF(T55=[1]Datos!$B$235,30,0))/100)</f>
        <v>0</v>
      </c>
      <c r="V55" s="228"/>
      <c r="W55" s="231"/>
      <c r="X55" s="228"/>
      <c r="Y55" s="231"/>
      <c r="Z55" s="207"/>
      <c r="AA55" s="93"/>
      <c r="AB55" s="93"/>
      <c r="AC55" s="93"/>
      <c r="AD55" s="93"/>
      <c r="AE55" s="93"/>
      <c r="AF55" s="93"/>
      <c r="AG55" s="94"/>
    </row>
    <row r="56" spans="1:33" ht="34.5" customHeight="1" x14ac:dyDescent="0.25">
      <c r="A56" s="152"/>
      <c r="B56" s="128"/>
      <c r="C56" s="155"/>
      <c r="D56" s="210" t="s">
        <v>90</v>
      </c>
      <c r="E56" s="210"/>
      <c r="F56" s="210"/>
      <c r="G56" s="210"/>
      <c r="H56" s="63" t="s">
        <v>93</v>
      </c>
      <c r="I56" s="213"/>
      <c r="J56" s="213"/>
      <c r="K56" s="207"/>
      <c r="L56" s="65"/>
      <c r="M56" s="68"/>
      <c r="N56" s="71"/>
      <c r="O56" s="71"/>
      <c r="P56" s="71"/>
      <c r="Q56" s="71"/>
      <c r="R56" s="71"/>
      <c r="S56" s="71"/>
      <c r="T56" s="71"/>
      <c r="U56" s="76">
        <f>((IF(N56=[1]Datos!$B$233,15,0))/100)+((IF(O56=[1]Datos!$B$229,5,0))/100)+((IF(P56=[1]Datos!$B$233,15,0))/100)+((IF(Q56=[1]Datos!$B$231,10,0))/100)+((IF(R56=[1]Datos!$B$233,15,0))/100)+((IF(S56=[1]Datos!$B$231,10,0))/100)+((IF(T56=[1]Datos!$B$235,30,0))/100)</f>
        <v>0</v>
      </c>
      <c r="V56" s="228"/>
      <c r="W56" s="231"/>
      <c r="X56" s="228"/>
      <c r="Y56" s="231"/>
      <c r="Z56" s="207"/>
      <c r="AA56" s="93"/>
      <c r="AB56" s="93"/>
      <c r="AC56" s="93"/>
      <c r="AD56" s="93"/>
      <c r="AE56" s="93"/>
      <c r="AF56" s="93"/>
      <c r="AG56" s="94"/>
    </row>
    <row r="57" spans="1:33" ht="15.75" thickBot="1" x14ac:dyDescent="0.3">
      <c r="A57" s="153"/>
      <c r="B57" s="129"/>
      <c r="C57" s="156"/>
      <c r="D57" s="215"/>
      <c r="E57" s="215"/>
      <c r="F57" s="211"/>
      <c r="G57" s="211"/>
      <c r="H57" s="78"/>
      <c r="I57" s="214"/>
      <c r="J57" s="214"/>
      <c r="K57" s="208"/>
      <c r="L57" s="66"/>
      <c r="M57" s="69"/>
      <c r="N57" s="72"/>
      <c r="O57" s="72"/>
      <c r="P57" s="72"/>
      <c r="Q57" s="72"/>
      <c r="R57" s="72"/>
      <c r="S57" s="72"/>
      <c r="T57" s="72"/>
      <c r="U57" s="77">
        <f>((IF(N57=[1]Datos!$B$233,15,0))/100)+((IF(O57=[1]Datos!$B$229,5,0))/100)+((IF(P57=[1]Datos!$B$233,15,0))/100)+((IF(Q57=[1]Datos!$B$231,10,0))/100)+((IF(R57=[1]Datos!$B$233,15,0))/100)+((IF(S57=[1]Datos!$B$231,10,0))/100)+((IF(T57=[1]Datos!$B$235,30,0))/100)</f>
        <v>0</v>
      </c>
      <c r="V57" s="229"/>
      <c r="W57" s="232"/>
      <c r="X57" s="229"/>
      <c r="Y57" s="232"/>
      <c r="Z57" s="208"/>
      <c r="AA57" s="91"/>
      <c r="AB57" s="91"/>
      <c r="AC57" s="91"/>
      <c r="AD57" s="91"/>
      <c r="AE57" s="91"/>
      <c r="AF57" s="91"/>
      <c r="AG57" s="92"/>
    </row>
    <row r="58" spans="1:33" ht="37.5" customHeight="1" x14ac:dyDescent="0.25">
      <c r="A58" s="151" t="s">
        <v>117</v>
      </c>
      <c r="B58" s="127"/>
      <c r="C58" s="154" t="s">
        <v>537</v>
      </c>
      <c r="D58" s="209" t="s">
        <v>111</v>
      </c>
      <c r="E58" s="209"/>
      <c r="F58" s="209" t="s">
        <v>112</v>
      </c>
      <c r="G58" s="209" t="s">
        <v>113</v>
      </c>
      <c r="H58" s="62" t="s">
        <v>114</v>
      </c>
      <c r="I58" s="212" t="s">
        <v>45</v>
      </c>
      <c r="J58" s="212" t="s">
        <v>97</v>
      </c>
      <c r="K58" s="206" t="str">
        <f>IF(AND(I58=[1]Datos!$B$212,J58=[1]Datos!$B$219),[1]Datos!$D$216,IF(AND(I58=[1]Datos!$B$212,J58=[1]Datos!$B$220),[1]Datos!$E$216,IF(AND(I58=[1]Datos!$B$212,J58=[1]Datos!$B$221),[1]Datos!$F$216,IF(AND(I58=[1]Datos!$B$213,J58=[1]Datos!$B$219),[1]Datos!$D$215,IF(AND(I58=[1]Datos!$B$213,J58=[1]Datos!$B$220),[1]Datos!$E$215,IF(AND(I58=[1]Datos!$B$213,J58=[1]Datos!$B$221),[1]Datos!$F$215,IF(AND(I58=[1]Datos!$B$214,J58=[1]Datos!$B$219),[1]Datos!$D$214,IF(AND(I58=[1]Datos!$B$214,J58=[1]Datos!$B$220),[1]Datos!$E$214,IF(AND(I58=[1]Datos!$B$214,J58=[1]Datos!$B$221),[1]Datos!$F$214,IF(AND(I58=[1]Datos!$B$215,J58=[1]Datos!$B$219),[1]Datos!$D$213,IF(AND(I58=[1]Datos!$B$215,J58=[1]Datos!$B$220),[1]Datos!$E$213,IF(AND(I58=[1]Datos!$B$215,J58=[1]Datos!$B$221),[1]Datos!$F$213,IF(AND(I58=[1]Datos!$B$216,J58=[1]Datos!$B$219),[1]Datos!$D$212,IF(AND(I58=[1]Datos!$B$216,J58=[1]Datos!$B$220),[1]Datos!$E$212,IF(AND(I58=[1]Datos!$B$216,J58=[1]Datos!$B$221),[1]Datos!$F$212,"-")))))))))))))))</f>
        <v>MODERADA 15</v>
      </c>
      <c r="L58" s="64" t="s">
        <v>80</v>
      </c>
      <c r="M58" s="67" t="s">
        <v>47</v>
      </c>
      <c r="N58" s="70" t="s">
        <v>50</v>
      </c>
      <c r="O58" s="70" t="s">
        <v>49</v>
      </c>
      <c r="P58" s="70" t="s">
        <v>50</v>
      </c>
      <c r="Q58" s="70" t="s">
        <v>51</v>
      </c>
      <c r="R58" s="70" t="s">
        <v>50</v>
      </c>
      <c r="S58" s="70" t="s">
        <v>50</v>
      </c>
      <c r="T58" s="70" t="s">
        <v>50</v>
      </c>
      <c r="U58" s="73">
        <f>((IF(N58=[1]Datos!$B$233,15,0))/100)+((IF(O58=[1]Datos!$B$229,5,0))/100)+((IF(P58=[1]Datos!$B$233,15,0))/100)+((IF(Q58=[1]Datos!$B$231,10,0))/100)+((IF(R58=[1]Datos!$B$233,15,0))/100)+((IF(S58=[1]Datos!$B$231,10,0))/100)+((IF(T58=[1]Datos!$B$235,30,0))/100)</f>
        <v>0.15000000000000002</v>
      </c>
      <c r="V58" s="227">
        <f>IF(ISERROR(((IF(M58=[1]Datos!$B$224,U58,0))+(IF(M59=[1]Datos!$B$224,U59,0))+(IF(M60=[1]Datos!$B$224,U60,0))+(IF(M61=[1]Datos!$B$224,U61,0))+(IF(M62=[1]Datos!$B$224,U62,0))+(IF(M63=[1]Datos!$B$224,U63,0)))/((IF(M58=[1]Datos!$B$224,1,0))+(IF(M59=[1]Datos!$B$224,1,0))+(IF(M60=[1]Datos!$B$224,1,0))+(IF(M61=[1]Datos!$B$224,1,0))+(IF(M62=[1]Datos!$B$224,1,0))+(IF(M63=[1]Datos!$B$224,1,0)))),0,(((IF(M58=[1]Datos!$B$224,U58,0))+(IF(M59=[1]Datos!$B$224,U59,0))+(IF(M60=[1]Datos!$B$224,U60,0))+(IF(M61=[1]Datos!$B$224,U61,0))+(IF(M62=[1]Datos!$B$224,U62,0))+(IF(M63=[1]Datos!$B$224,U63,0)))/((IF(M58=[1]Datos!$B$224,1,0))+(IF(M59=[1]Datos!$B$224,1,0))+(IF(M60=[1]Datos!$B$224,1,0))+(IF(M61=[1]Datos!$B$224,1,0))+(IF(M62=[1]Datos!$B$224,1,0))+(IF(M63=[1]Datos!$B$224,1,0)))))</f>
        <v>0.15000000000000002</v>
      </c>
      <c r="W58" s="230" t="str">
        <f>IF(I58="","-",(IF(V58&gt;0,(IF(I58=[1]Datos!$B$212,[1]Datos!$B$212,IF(AND(I58=[1]Datos!$B$213,V58&gt;0.49),[1]Datos!$B$212,IF(AND(I58=[1]Datos!$B$214,V58&gt;0.74),[1]Datos!$B$212,IF(AND(I58=[1]Datos!$B$214,V58&lt;0.75,V58&gt;0.49),[1]Datos!$B$213,IF(AND(I58=[1]Datos!$B$215,V58&gt;0.74),[1]Datos!$B$213,IF(AND(I58=[1]Datos!$B$215,V58&lt;0.75,V58&gt;0.49),[1]Datos!$B$214,IF(AND(I58=[1]Datos!$B$216,V58&gt;0.74),[1]Datos!$B$214,IF(AND(I58=[1]Datos!$B$216,V58&lt;0.75,V58&gt;0.49),[1]Datos!$B$215,I58))))))))),I58)))</f>
        <v>Posible - 3</v>
      </c>
      <c r="X58" s="227">
        <f>IF(ISERROR(((IF(M58=[1]Datos!$B$225,U58,0))+(IF(M59=[1]Datos!$B$225,U59,0))+(IF(M60=[1]Datos!$B$225,U60,0))+(IF(M61=[1]Datos!$B$225,U61,0))+(IF(M62=[1]Datos!$B$225,U62,0))+(IF(M63=[1]Datos!$B$225,U63,0))+(IF(M58=[1]Datos!$B$226,U58,0))+(IF(M59=[1]Datos!$B$226,U59,0))+(IF(M60=[1]Datos!$B$226,U60,0))+(IF(M61=[1]Datos!$B$226,U61,0))+(IF(M62=[1]Datos!$B$226,U62,0))+(IF(M63=[1]Datos!$B$226,U63,0)))/((IF(M58=[1]Datos!$B$225,1,0))+(IF(M59=[1]Datos!$B$225,1,0))+(IF(M60=[1]Datos!$B$225,1,0))+(IF(M61=[1]Datos!$B$225,1,0))+(IF(M62=[1]Datos!$B$225,1,0))+(IF(M63=[1]Datos!$B$225,1,0))+(IF(M58=[1]Datos!$B$226,1,0))+(IF(M59=[1]Datos!$B$226,1,0))+(IF(M60=[1]Datos!$B$226,1,0))+(IF(M61=[1]Datos!$B$226,1,0))+(IF(M62=[1]Datos!$B$226,1,0))+(IF(M63=[1]Datos!$B$226,1,0)))),0,((IF(M58=[1]Datos!$B$225,U58,0))+(IF(M59=[1]Datos!$B$225,U59,0))+(IF(M60=[1]Datos!$B$225,U60,0))+(IF(M61=[1]Datos!$B$225,U61,0))+(IF(M62=[1]Datos!$B$225,U62,0))+(IF(M63=[1]Datos!$B$225,U63,0))+(IF(M58=[1]Datos!$B$226,U58,0))+(IF(M59=[1]Datos!$B$226,U59,0))+(IF(M60=[1]Datos!$B$226,U60,0))+(IF(M61=[1]Datos!$B$226,U61,0))+(IF(M62=[1]Datos!$B$226,U62,0))+(IF(M63=[1]Datos!$B$226,U63,0)))/((IF(M58=[1]Datos!$B$225,1,0))+(IF(M59=[1]Datos!$B$225,1,0))+(IF(M60=[1]Datos!$B$225,1,0))+(IF(M61=[1]Datos!$B$225,1,0))+(IF(M62=[1]Datos!$B$225,1,0))+(IF(M63=[1]Datos!$B$225,1,0))+(IF(M58=[1]Datos!$B$226,1,0))+(IF(M59=[1]Datos!$B$226,1,0))+(IF(M60=[1]Datos!$B$226,1,0))+(IF(M61=[1]Datos!$B$226,1,0))+(IF(M62=[1]Datos!$B$226,1,0))+(IF(M63=[1]Datos!$B$226,1,0))))</f>
        <v>0</v>
      </c>
      <c r="Y58" s="230" t="str">
        <f>IF(J58="","-",(IF(X58&gt;0,(IF(J58=[1]Datos!$B$219,[1]Datos!$B$219,IF(AND(J58=[1]Datos!$B$220,X58&gt;0.49),[1]Datos!$B$219,IF(AND(J58=[1]Datos!$B$221,X58&gt;0.74),[1]Datos!$B$219,IF(AND(J58=[1]Datos!$B$221,X58&lt;0.75,X58&gt;0.49),[1]Datos!$B$220,IF(AND(J58=[1]Datos!$B$222,X58&gt;0.74),[1]Datos!$B$220,IF(AND(J58=[1]Datos!$B$222,X58&lt;0.75,X58&gt;0.49),[1]Datos!$B$221,IF(AND(J58=[1]Datos!$B$223,X58&gt;0.74),[1]Datos!$B$221,IF(AND(J58=[1]Datos!$B$223,X58&lt;0.75,X58&gt;0.49),[1]Datos!$B$222,J58))))))))),J58)))</f>
        <v>Moderado - 5</v>
      </c>
      <c r="Z58" s="206" t="str">
        <f>IF(AND(W58=[1]Datos!$B$212,Y58=[1]Datos!$B$219),[1]Datos!$D$216,IF(AND(W58=[1]Datos!$B$212,Y58=[1]Datos!$B$220),[1]Datos!$E$216,IF(AND(W58=[1]Datos!$B$212,Y58=[1]Datos!$B$221),[1]Datos!$F$216,IF(AND(W58=[1]Datos!$B$213,Y58=[1]Datos!$B$219),[1]Datos!$D$215,IF(AND(W58=[1]Datos!$B$213,Y58=[1]Datos!$B$220),[1]Datos!$E$215,IF(AND(W58=[1]Datos!$B$213,Y58=[1]Datos!$B$221),[1]Datos!$F$215,IF(AND(W58=[1]Datos!$B$214,Y58=[1]Datos!$B$219),[1]Datos!$D$214,IF(AND(W58=[1]Datos!$B$214,Y58=[1]Datos!$B$220),[1]Datos!$E$214,IF(AND(W58=[1]Datos!$B$214,Y58=[1]Datos!$B$221),[1]Datos!$F$214,IF(AND(W58=[1]Datos!$B$215,Y58=[1]Datos!$B$219),[1]Datos!$D$213,IF(AND(W58=[1]Datos!$B$215,Y58=[1]Datos!$B$220),[1]Datos!$E$213,IF(AND(W58=[1]Datos!$B$215,Y58=[1]Datos!$B$221),[1]Datos!$F$213,IF(AND(W58=[1]Datos!$B$216,Y58=[1]Datos!$B$219),[1]Datos!$D$212,IF(AND(W58=[1]Datos!$B$216,Y58=[1]Datos!$B$220),[1]Datos!$E$212,IF(AND(W58=[1]Datos!$B$216,Y58=[1]Datos!$B$221),[1]Datos!$F$212,"-")))))))))))))))</f>
        <v>MODERADA 15</v>
      </c>
      <c r="AA58" s="74"/>
      <c r="AB58" s="74"/>
      <c r="AC58" s="74"/>
      <c r="AD58" s="74"/>
      <c r="AE58" s="74"/>
      <c r="AF58" s="74"/>
      <c r="AG58" s="75"/>
    </row>
    <row r="59" spans="1:33" ht="33.75" customHeight="1" x14ac:dyDescent="0.25">
      <c r="A59" s="152"/>
      <c r="B59" s="128"/>
      <c r="C59" s="155"/>
      <c r="D59" s="210" t="s">
        <v>115</v>
      </c>
      <c r="E59" s="210"/>
      <c r="F59" s="210"/>
      <c r="G59" s="210"/>
      <c r="H59" s="63" t="s">
        <v>93</v>
      </c>
      <c r="I59" s="213"/>
      <c r="J59" s="213"/>
      <c r="K59" s="207"/>
      <c r="L59" s="65"/>
      <c r="M59" s="68"/>
      <c r="N59" s="71"/>
      <c r="O59" s="71"/>
      <c r="P59" s="71"/>
      <c r="Q59" s="71"/>
      <c r="R59" s="71"/>
      <c r="S59" s="71"/>
      <c r="T59" s="71"/>
      <c r="U59" s="76">
        <f>((IF(N59=[1]Datos!$B$233,15,0))/100)+((IF(O59=[1]Datos!$B$229,5,0))/100)+((IF(P59=[1]Datos!$B$233,15,0))/100)+((IF(Q59=[1]Datos!$B$231,10,0))/100)+((IF(R59=[1]Datos!$B$233,15,0))/100)+((IF(S59=[1]Datos!$B$231,10,0))/100)+((IF(T59=[1]Datos!$B$235,30,0))/100)</f>
        <v>0</v>
      </c>
      <c r="V59" s="228"/>
      <c r="W59" s="231"/>
      <c r="X59" s="228"/>
      <c r="Y59" s="231"/>
      <c r="Z59" s="207"/>
      <c r="AA59" s="93"/>
      <c r="AB59" s="93"/>
      <c r="AC59" s="93"/>
      <c r="AD59" s="93"/>
      <c r="AE59" s="93"/>
      <c r="AF59" s="93"/>
      <c r="AG59" s="94"/>
    </row>
    <row r="60" spans="1:33" ht="30.75" customHeight="1" x14ac:dyDescent="0.25">
      <c r="A60" s="152"/>
      <c r="B60" s="128"/>
      <c r="C60" s="155"/>
      <c r="D60" s="210" t="s">
        <v>116</v>
      </c>
      <c r="E60" s="210"/>
      <c r="F60" s="210"/>
      <c r="G60" s="210"/>
      <c r="H60" s="63"/>
      <c r="I60" s="213"/>
      <c r="J60" s="213"/>
      <c r="K60" s="207"/>
      <c r="L60" s="65"/>
      <c r="M60" s="68"/>
      <c r="N60" s="71"/>
      <c r="O60" s="71"/>
      <c r="P60" s="71"/>
      <c r="Q60" s="71"/>
      <c r="R60" s="71"/>
      <c r="S60" s="71"/>
      <c r="T60" s="71"/>
      <c r="U60" s="76">
        <f>((IF(N60=[1]Datos!$B$233,15,0))/100)+((IF(O60=[1]Datos!$B$229,5,0))/100)+((IF(P60=[1]Datos!$B$233,15,0))/100)+((IF(Q60=[1]Datos!$B$231,10,0))/100)+((IF(R60=[1]Datos!$B$233,15,0))/100)+((IF(S60=[1]Datos!$B$231,10,0))/100)+((IF(T60=[1]Datos!$B$235,30,0))/100)</f>
        <v>0</v>
      </c>
      <c r="V60" s="228"/>
      <c r="W60" s="231"/>
      <c r="X60" s="228"/>
      <c r="Y60" s="231"/>
      <c r="Z60" s="207"/>
      <c r="AA60" s="93"/>
      <c r="AB60" s="93"/>
      <c r="AC60" s="93"/>
      <c r="AD60" s="93"/>
      <c r="AE60" s="93"/>
      <c r="AF60" s="93"/>
      <c r="AG60" s="94"/>
    </row>
    <row r="61" spans="1:33" x14ac:dyDescent="0.25">
      <c r="A61" s="152"/>
      <c r="B61" s="128"/>
      <c r="C61" s="155"/>
      <c r="D61" s="210"/>
      <c r="E61" s="210"/>
      <c r="F61" s="210"/>
      <c r="G61" s="210"/>
      <c r="H61" s="63"/>
      <c r="I61" s="213"/>
      <c r="J61" s="213"/>
      <c r="K61" s="207"/>
      <c r="L61" s="65"/>
      <c r="M61" s="68"/>
      <c r="N61" s="71"/>
      <c r="O61" s="71"/>
      <c r="P61" s="71"/>
      <c r="Q61" s="71"/>
      <c r="R61" s="71"/>
      <c r="S61" s="71"/>
      <c r="T61" s="71"/>
      <c r="U61" s="76">
        <f>((IF(N61=[1]Datos!$B$233,15,0))/100)+((IF(O61=[1]Datos!$B$229,5,0))/100)+((IF(P61=[1]Datos!$B$233,15,0))/100)+((IF(Q61=[1]Datos!$B$231,10,0))/100)+((IF(R61=[1]Datos!$B$233,15,0))/100)+((IF(S61=[1]Datos!$B$231,10,0))/100)+((IF(T61=[1]Datos!$B$235,30,0))/100)</f>
        <v>0</v>
      </c>
      <c r="V61" s="228"/>
      <c r="W61" s="231"/>
      <c r="X61" s="228"/>
      <c r="Y61" s="231"/>
      <c r="Z61" s="207"/>
      <c r="AA61" s="93"/>
      <c r="AB61" s="93"/>
      <c r="AC61" s="93"/>
      <c r="AD61" s="93"/>
      <c r="AE61" s="93"/>
      <c r="AF61" s="93"/>
      <c r="AG61" s="94"/>
    </row>
    <row r="62" spans="1:33" x14ac:dyDescent="0.25">
      <c r="A62" s="152"/>
      <c r="B62" s="128"/>
      <c r="C62" s="155"/>
      <c r="D62" s="210"/>
      <c r="E62" s="210"/>
      <c r="F62" s="210"/>
      <c r="G62" s="210"/>
      <c r="H62" s="63"/>
      <c r="I62" s="213"/>
      <c r="J62" s="213"/>
      <c r="K62" s="207"/>
      <c r="L62" s="65"/>
      <c r="M62" s="68"/>
      <c r="N62" s="71"/>
      <c r="O62" s="71"/>
      <c r="P62" s="71"/>
      <c r="Q62" s="71"/>
      <c r="R62" s="71"/>
      <c r="S62" s="71"/>
      <c r="T62" s="71"/>
      <c r="U62" s="76">
        <f>((IF(N62=[1]Datos!$B$233,15,0))/100)+((IF(O62=[1]Datos!$B$229,5,0))/100)+((IF(P62=[1]Datos!$B$233,15,0))/100)+((IF(Q62=[1]Datos!$B$231,10,0))/100)+((IF(R62=[1]Datos!$B$233,15,0))/100)+((IF(S62=[1]Datos!$B$231,10,0))/100)+((IF(T62=[1]Datos!$B$235,30,0))/100)</f>
        <v>0</v>
      </c>
      <c r="V62" s="228"/>
      <c r="W62" s="231"/>
      <c r="X62" s="228"/>
      <c r="Y62" s="231"/>
      <c r="Z62" s="207"/>
      <c r="AA62" s="93"/>
      <c r="AB62" s="93"/>
      <c r="AC62" s="93"/>
      <c r="AD62" s="93"/>
      <c r="AE62" s="93"/>
      <c r="AF62" s="93"/>
      <c r="AG62" s="94"/>
    </row>
    <row r="63" spans="1:33" ht="15.75" thickBot="1" x14ac:dyDescent="0.3">
      <c r="A63" s="153"/>
      <c r="B63" s="129"/>
      <c r="C63" s="156"/>
      <c r="D63" s="211"/>
      <c r="E63" s="211"/>
      <c r="F63" s="211"/>
      <c r="G63" s="211"/>
      <c r="H63" s="78"/>
      <c r="I63" s="214"/>
      <c r="J63" s="214"/>
      <c r="K63" s="208"/>
      <c r="L63" s="66"/>
      <c r="M63" s="69"/>
      <c r="N63" s="72"/>
      <c r="O63" s="72"/>
      <c r="P63" s="72"/>
      <c r="Q63" s="72"/>
      <c r="R63" s="72"/>
      <c r="S63" s="72"/>
      <c r="T63" s="72"/>
      <c r="U63" s="77">
        <f>((IF(N63=[1]Datos!$B$233,15,0))/100)+((IF(O63=[1]Datos!$B$229,5,0))/100)+((IF(P63=[1]Datos!$B$233,15,0))/100)+((IF(Q63=[1]Datos!$B$231,10,0))/100)+((IF(R63=[1]Datos!$B$233,15,0))/100)+((IF(S63=[1]Datos!$B$231,10,0))/100)+((IF(T63=[1]Datos!$B$235,30,0))/100)</f>
        <v>0</v>
      </c>
      <c r="V63" s="229"/>
      <c r="W63" s="232"/>
      <c r="X63" s="229"/>
      <c r="Y63" s="232"/>
      <c r="Z63" s="208"/>
      <c r="AA63" s="91"/>
      <c r="AB63" s="91"/>
      <c r="AC63" s="91"/>
      <c r="AD63" s="91"/>
      <c r="AE63" s="91"/>
      <c r="AF63" s="91"/>
      <c r="AG63" s="92"/>
    </row>
    <row r="64" spans="1:33" ht="87" customHeight="1" x14ac:dyDescent="0.25">
      <c r="A64" s="151" t="s">
        <v>531</v>
      </c>
      <c r="B64" s="127"/>
      <c r="C64" s="154" t="s">
        <v>538</v>
      </c>
      <c r="D64" s="205" t="s">
        <v>118</v>
      </c>
      <c r="E64" s="205"/>
      <c r="F64" s="169" t="s">
        <v>435</v>
      </c>
      <c r="G64" s="147" t="s">
        <v>338</v>
      </c>
      <c r="H64" s="15" t="s">
        <v>119</v>
      </c>
      <c r="I64" s="148" t="s">
        <v>120</v>
      </c>
      <c r="J64" s="148" t="s">
        <v>85</v>
      </c>
      <c r="K64" s="133" t="str">
        <f>IF(AND(I64=[2]Datos!$B$212,J64=[2]Datos!$B$219),[2]Datos!$D$216,IF(AND(I64=[2]Datos!$B$212,J64=[2]Datos!$B$220),[2]Datos!$E$216,IF(AND(I64=[2]Datos!$B$212,J64=[2]Datos!$B$221),[2]Datos!$F$216,IF(AND(I64=[2]Datos!$B$213,J64=[2]Datos!$B$219),[2]Datos!$D$215,IF(AND(I64=[2]Datos!$B$213,J64=[2]Datos!$B$220),[2]Datos!$E$215,IF(AND(I64=[2]Datos!$B$213,J64=[2]Datos!$B$221),[2]Datos!$F$215,IF(AND(I64=[2]Datos!$B$214,J64=[2]Datos!$B$219),[2]Datos!$D$214,IF(AND(I64=[2]Datos!$B$214,J64=[2]Datos!$B$220),[2]Datos!$E$214,IF(AND(I64=[2]Datos!$B$214,J64=[2]Datos!$B$221),[2]Datos!$F$214,IF(AND(I64=[2]Datos!$B$215,J64=[2]Datos!$B$219),[2]Datos!$D$213,IF(AND(I64=[2]Datos!$B$215,J64=[2]Datos!$B$220),[2]Datos!$E$213,IF(AND(I64=[2]Datos!$B$215,J64=[2]Datos!$B$221),[2]Datos!$F$213,IF(AND(I64=[2]Datos!$B$216,J64=[2]Datos!$B$219),[2]Datos!$D$212,IF(AND(I64=[2]Datos!$B$216,J64=[2]Datos!$B$220),[2]Datos!$E$212,IF(AND(I64=[2]Datos!$B$216,J64=[2]Datos!$B$221),[2]Datos!$F$212,"-")))))))))))))))</f>
        <v>MODERADA 20</v>
      </c>
      <c r="L64" s="15" t="s">
        <v>375</v>
      </c>
      <c r="M64" s="37" t="s">
        <v>47</v>
      </c>
      <c r="N64" s="13" t="s">
        <v>48</v>
      </c>
      <c r="O64" s="13" t="s">
        <v>49</v>
      </c>
      <c r="P64" s="13" t="s">
        <v>50</v>
      </c>
      <c r="Q64" s="13" t="s">
        <v>51</v>
      </c>
      <c r="R64" s="13" t="s">
        <v>48</v>
      </c>
      <c r="S64" s="13" t="s">
        <v>51</v>
      </c>
      <c r="T64" s="13" t="s">
        <v>52</v>
      </c>
      <c r="U64" s="40">
        <f>((IF(N64=[2]Datos!$B$233,15,0))/100)+((IF(O64=[2]Datos!$B$229,5,0))/100)+((IF(P64=[2]Datos!$B$233,15,0))/100)+((IF(Q64=[2]Datos!$B$231,10,0))/100)+((IF(R64=[2]Datos!$B$233,15,0))/100)+((IF(S64=[2]Datos!$B$231,10,0))/100)+((IF(T64=[2]Datos!$B$235,30,0))/100)</f>
        <v>0.85000000000000009</v>
      </c>
      <c r="V64" s="130">
        <f>IF(ISERROR(((IF(M64=[2]Datos!$B$224,U64,0))+(IF(M65=[2]Datos!$B$224,U65,0))+(IF(M66=[2]Datos!$B$224,U66,0))+(IF(M67=[2]Datos!$B$224,U67,0))+(IF(M68=[2]Datos!$B$224,U68,0))+(IF(M69=[2]Datos!$B$224,U69,0)))/((IF(M64=[2]Datos!$B$224,1,0))+(IF(M65=[2]Datos!$B$224,1,0))+(IF(M66=[2]Datos!$B$224,1,0))+(IF(M67=[2]Datos!$B$224,1,0))+(IF(M68=[2]Datos!$B$224,1,0))+(IF(M69=[2]Datos!$B$224,1,0)))),0,(((IF(M64=[2]Datos!$B$224,U64,0))+(IF(M65=[2]Datos!$B$224,U65,0))+(IF(M66=[2]Datos!$B$224,U66,0))+(IF(M67=[2]Datos!$B$224,U67,0))+(IF(M68=[2]Datos!$B$224,U68,0))+(IF(M69=[2]Datos!$B$224,U69,0)))/((IF(M64=[2]Datos!$B$224,1,0))+(IF(M65=[2]Datos!$B$224,1,0))+(IF(M66=[2]Datos!$B$224,1,0))+(IF(M67=[2]Datos!$B$224,1,0))+(IF(M68=[2]Datos!$B$224,1,0))+(IF(M69=[2]Datos!$B$224,1,0)))))</f>
        <v>0.85000000000000009</v>
      </c>
      <c r="W64" s="127" t="str">
        <f>IF(I64="","-",(IF(V64&gt;0,(IF(I64=[2]Datos!$B$212,[2]Datos!$B$212,IF(AND(I64=[2]Datos!$B$213,V64&gt;0.49),[2]Datos!$B$212,IF(AND(I64=[2]Datos!$B$214,V64&gt;0.74),[2]Datos!$B$212,IF(AND(I64=[2]Datos!$B$214,V64&lt;0.75,V64&gt;0.49),[2]Datos!$B$213,IF(AND(I64=[2]Datos!$B$215,V64&gt;0.74),[2]Datos!$B$213,IF(AND(I64=[2]Datos!$B$215,V64&lt;0.75,V64&gt;0.49),[2]Datos!$B$214,IF(AND(I64=[2]Datos!$B$216,V64&gt;0.74),[2]Datos!$B$214,IF(AND(I64=[2]Datos!$B$216,V64&lt;0.75,V64&gt;0.49),[2]Datos!$B$215,I64))))))))),I64)))</f>
        <v>Rara vez - 1</v>
      </c>
      <c r="X64" s="130">
        <f>IF(ISERROR(((IF(M64=[2]Datos!$B$225,U64,0))+(IF(M65=[2]Datos!$B$225,U65,0))+(IF(M66=[2]Datos!$B$225,U66,0))+(IF(M67=[2]Datos!$B$225,U67,0))+(IF(M68=[2]Datos!$B$225,U68,0))+(IF(M69=[2]Datos!$B$225,U69,0))+(IF(M64=[2]Datos!$B$226,U64,0))+(IF(M65=[2]Datos!$B$226,U65,0))+(IF(M66=[2]Datos!$B$226,U66,0))+(IF(M67=[2]Datos!$B$226,U67,0))+(IF(M68=[2]Datos!$B$226,U68,0))+(IF(M69=[2]Datos!$B$226,U69,0)))/((IF(M64=[2]Datos!$B$225,1,0))+(IF(M65=[2]Datos!$B$225,1,0))+(IF(M66=[2]Datos!$B$225,1,0))+(IF(M67=[2]Datos!$B$225,1,0))+(IF(M68=[2]Datos!$B$225,1,0))+(IF(M69=[2]Datos!$B$225,1,0))+(IF(M64=[2]Datos!$B$226,1,0))+(IF(M65=[2]Datos!$B$226,1,0))+(IF(M66=[2]Datos!$B$226,1,0))+(IF(M67=[2]Datos!$B$226,1,0))+(IF(M68=[2]Datos!$B$226,1,0))+(IF(M69=[2]Datos!$B$226,1,0)))),0,((IF(M64=[2]Datos!$B$225,U64,0))+(IF(M65=[2]Datos!$B$225,U65,0))+(IF(M66=[2]Datos!$B$225,U66,0))+(IF(M67=[2]Datos!$B$225,U67,0))+(IF(M68=[2]Datos!$B$225,U68,0))+(IF(M69=[2]Datos!$B$225,U69,0))+(IF(M64=[2]Datos!$B$226,U64,0))+(IF(M65=[2]Datos!$B$226,U65,0))+(IF(M66=[2]Datos!$B$226,U66,0))+(IF(M67=[2]Datos!$B$226,U67,0))+(IF(M68=[2]Datos!$B$226,U68,0))+(IF(M69=[2]Datos!$B$226,U69,0)))/((IF(M64=[2]Datos!$B$225,1,0))+(IF(M65=[2]Datos!$B$225,1,0))+(IF(M66=[2]Datos!$B$225,1,0))+(IF(M67=[2]Datos!$B$225,1,0))+(IF(M68=[2]Datos!$B$225,1,0))+(IF(M69=[2]Datos!$B$225,1,0))+(IF(M64=[2]Datos!$B$226,1,0))+(IF(M65=[2]Datos!$B$226,1,0))+(IF(M66=[2]Datos!$B$226,1,0))+(IF(M67=[2]Datos!$B$226,1,0))+(IF(M68=[2]Datos!$B$226,1,0))+(IF(M69=[2]Datos!$B$226,1,0))))</f>
        <v>0</v>
      </c>
      <c r="Y64" s="127" t="str">
        <f>IF(J64="","-",(IF(X64&gt;0,(IF(J64=[2]Datos!$B$219,[2]Datos!$B$219,IF(AND(J64=[2]Datos!$B$220,X64&gt;0.49),[2]Datos!$B$219,IF(AND(J64=[2]Datos!$B$221,X64&gt;0.74),[2]Datos!$B$219,IF(AND(J64=[2]Datos!$B$221,X64&lt;0.75,X64&gt;0.49),[2]Datos!$B$220,IF(AND(J64=[2]Datos!$B$222,X64&gt;0.74),[2]Datos!$B$220,IF(AND(J64=[2]Datos!$B$222,X64&lt;0.75,X64&gt;0.49),[2]Datos!$B$221,IF(AND(J64=[2]Datos!$B$223,X64&gt;0.74),[2]Datos!$B$221,IF(AND(J64=[2]Datos!$B$223,X64&lt;0.75,X64&gt;0.49),[2]Datos!$B$222,J64))))))))),J64)))</f>
        <v>Mayor - 10</v>
      </c>
      <c r="Z64" s="133" t="str">
        <f>IF(AND(W64=[2]Datos!$B$212,Y64=[2]Datos!$B$219),[2]Datos!$D$216,IF(AND(W64=[2]Datos!$B$212,Y64=[2]Datos!$B$220),[2]Datos!$E$216,IF(AND(W64=[2]Datos!$B$212,Y64=[2]Datos!$B$221),[2]Datos!$F$216,IF(AND(W64=[2]Datos!$B$213,Y64=[2]Datos!$B$219),[2]Datos!$D$215,IF(AND(W64=[2]Datos!$B$213,Y64=[2]Datos!$B$220),[2]Datos!$E$215,IF(AND(W64=[2]Datos!$B$213,Y64=[2]Datos!$B$221),[2]Datos!$F$215,IF(AND(W64=[2]Datos!$B$214,Y64=[2]Datos!$B$219),[2]Datos!$D$214,IF(AND(W64=[2]Datos!$B$214,Y64=[2]Datos!$B$220),[2]Datos!$E$214,IF(AND(W64=[2]Datos!$B$214,Y64=[2]Datos!$B$221),[2]Datos!$F$214,IF(AND(W64=[2]Datos!$B$215,Y64=[2]Datos!$B$219),[2]Datos!$D$213,IF(AND(W64=[2]Datos!$B$215,Y64=[2]Datos!$B$220),[2]Datos!$E$213,IF(AND(W64=[2]Datos!$B$215,Y64=[2]Datos!$B$221),[2]Datos!$F$213,IF(AND(W64=[2]Datos!$B$216,Y64=[2]Datos!$B$219),[2]Datos!$D$212,IF(AND(W64=[2]Datos!$B$216,Y64=[2]Datos!$B$220),[2]Datos!$E$212,IF(AND(W64=[2]Datos!$B$216,Y64=[2]Datos!$B$221),[2]Datos!$F$212,"-")))))))))))))))</f>
        <v>BAJA 10</v>
      </c>
      <c r="AA64" s="11"/>
      <c r="AB64" s="11"/>
      <c r="AC64" s="11"/>
      <c r="AD64" s="11"/>
      <c r="AE64" s="11"/>
      <c r="AF64" s="11"/>
      <c r="AG64" s="16"/>
    </row>
    <row r="65" spans="1:33" ht="54" customHeight="1" x14ac:dyDescent="0.25">
      <c r="A65" s="152"/>
      <c r="B65" s="128"/>
      <c r="C65" s="155"/>
      <c r="D65" s="203" t="s">
        <v>121</v>
      </c>
      <c r="E65" s="203"/>
      <c r="F65" s="170"/>
      <c r="G65" s="136"/>
      <c r="H65" s="22" t="s">
        <v>122</v>
      </c>
      <c r="I65" s="149"/>
      <c r="J65" s="149"/>
      <c r="K65" s="134"/>
      <c r="L65" s="22" t="s">
        <v>123</v>
      </c>
      <c r="M65" s="38" t="s">
        <v>47</v>
      </c>
      <c r="N65" s="20" t="s">
        <v>48</v>
      </c>
      <c r="O65" s="20" t="s">
        <v>49</v>
      </c>
      <c r="P65" s="20" t="s">
        <v>50</v>
      </c>
      <c r="Q65" s="20" t="s">
        <v>51</v>
      </c>
      <c r="R65" s="20" t="s">
        <v>48</v>
      </c>
      <c r="S65" s="20" t="s">
        <v>51</v>
      </c>
      <c r="T65" s="20" t="s">
        <v>52</v>
      </c>
      <c r="U65" s="41">
        <f>((IF(N65=[2]Datos!$B$233,15,0))/100)+((IF(O65=[2]Datos!$B$229,5,0))/100)+((IF(P65=[2]Datos!$B$233,15,0))/100)+((IF(Q65=[2]Datos!$B$231,10,0))/100)+((IF(R65=[2]Datos!$B$233,15,0))/100)+((IF(S65=[2]Datos!$B$231,10,0))/100)+((IF(T65=[2]Datos!$B$235,30,0))/100)</f>
        <v>0.85000000000000009</v>
      </c>
      <c r="V65" s="131"/>
      <c r="W65" s="128"/>
      <c r="X65" s="131"/>
      <c r="Y65" s="128"/>
      <c r="Z65" s="134"/>
      <c r="AA65" s="18"/>
      <c r="AB65" s="18"/>
      <c r="AC65" s="18"/>
      <c r="AD65" s="18"/>
      <c r="AE65" s="18"/>
      <c r="AF65" s="18"/>
      <c r="AG65" s="23"/>
    </row>
    <row r="66" spans="1:33" ht="50.25" customHeight="1" x14ac:dyDescent="0.25">
      <c r="A66" s="152"/>
      <c r="B66" s="128"/>
      <c r="C66" s="155"/>
      <c r="D66" s="203" t="s">
        <v>124</v>
      </c>
      <c r="E66" s="203"/>
      <c r="F66" s="170"/>
      <c r="G66" s="136"/>
      <c r="H66" s="22" t="s">
        <v>125</v>
      </c>
      <c r="I66" s="149"/>
      <c r="J66" s="149"/>
      <c r="K66" s="134"/>
      <c r="L66" s="22" t="s">
        <v>126</v>
      </c>
      <c r="M66" s="38" t="s">
        <v>47</v>
      </c>
      <c r="N66" s="20" t="s">
        <v>48</v>
      </c>
      <c r="O66" s="20" t="s">
        <v>49</v>
      </c>
      <c r="P66" s="20" t="s">
        <v>50</v>
      </c>
      <c r="Q66" s="20" t="s">
        <v>51</v>
      </c>
      <c r="R66" s="20" t="s">
        <v>48</v>
      </c>
      <c r="S66" s="20" t="s">
        <v>51</v>
      </c>
      <c r="T66" s="20" t="s">
        <v>52</v>
      </c>
      <c r="U66" s="41">
        <f>((IF(N66=[2]Datos!$B$233,15,0))/100)+((IF(O66=[2]Datos!$B$229,5,0))/100)+((IF(P66=[2]Datos!$B$233,15,0))/100)+((IF(Q66=[2]Datos!$B$231,10,0))/100)+((IF(R66=[2]Datos!$B$233,15,0))/100)+((IF(S66=[2]Datos!$B$231,10,0))/100)+((IF(T66=[2]Datos!$B$235,30,0))/100)</f>
        <v>0.85000000000000009</v>
      </c>
      <c r="V66" s="131"/>
      <c r="W66" s="128"/>
      <c r="X66" s="131"/>
      <c r="Y66" s="128"/>
      <c r="Z66" s="134"/>
      <c r="AA66" s="18"/>
      <c r="AB66" s="18"/>
      <c r="AC66" s="18"/>
      <c r="AD66" s="18"/>
      <c r="AE66" s="18"/>
      <c r="AF66" s="18"/>
      <c r="AG66" s="23"/>
    </row>
    <row r="67" spans="1:33" ht="36" customHeight="1" x14ac:dyDescent="0.25">
      <c r="A67" s="152"/>
      <c r="B67" s="128"/>
      <c r="C67" s="155"/>
      <c r="D67" s="203" t="s">
        <v>127</v>
      </c>
      <c r="E67" s="203"/>
      <c r="F67" s="170"/>
      <c r="G67" s="136"/>
      <c r="H67" s="22" t="s">
        <v>128</v>
      </c>
      <c r="I67" s="149"/>
      <c r="J67" s="149"/>
      <c r="K67" s="134"/>
      <c r="L67" s="22"/>
      <c r="M67" s="38"/>
      <c r="N67" s="20"/>
      <c r="O67" s="20"/>
      <c r="P67" s="20"/>
      <c r="Q67" s="20"/>
      <c r="R67" s="20"/>
      <c r="S67" s="20"/>
      <c r="T67" s="20"/>
      <c r="U67" s="41">
        <f>((IF(N67=[2]Datos!$B$233,15,0))/100)+((IF(O67=[2]Datos!$B$229,5,0))/100)+((IF(P67=[2]Datos!$B$233,15,0))/100)+((IF(Q67=[2]Datos!$B$231,10,0))/100)+((IF(R67=[2]Datos!$B$233,15,0))/100)+((IF(S67=[2]Datos!$B$231,10,0))/100)+((IF(T67=[2]Datos!$B$235,30,0))/100)</f>
        <v>0</v>
      </c>
      <c r="V67" s="131"/>
      <c r="W67" s="128"/>
      <c r="X67" s="131"/>
      <c r="Y67" s="128"/>
      <c r="Z67" s="134"/>
      <c r="AA67" s="18"/>
      <c r="AB67" s="18"/>
      <c r="AC67" s="18"/>
      <c r="AD67" s="18"/>
      <c r="AE67" s="18"/>
      <c r="AF67" s="18"/>
      <c r="AG67" s="23"/>
    </row>
    <row r="68" spans="1:33" x14ac:dyDescent="0.25">
      <c r="A68" s="152"/>
      <c r="B68" s="128"/>
      <c r="C68" s="155"/>
      <c r="D68" s="203"/>
      <c r="E68" s="203"/>
      <c r="F68" s="170"/>
      <c r="G68" s="136"/>
      <c r="H68" s="35"/>
      <c r="I68" s="149"/>
      <c r="J68" s="149"/>
      <c r="K68" s="134"/>
      <c r="L68" s="22"/>
      <c r="M68" s="38"/>
      <c r="N68" s="20"/>
      <c r="O68" s="20"/>
      <c r="P68" s="20"/>
      <c r="Q68" s="20"/>
      <c r="R68" s="20"/>
      <c r="S68" s="20"/>
      <c r="T68" s="20"/>
      <c r="U68" s="41">
        <f>((IF(N68=[2]Datos!$B$233,15,0))/100)+((IF(O68=[2]Datos!$B$229,5,0))/100)+((IF(P68=[2]Datos!$B$233,15,0))/100)+((IF(Q68=[2]Datos!$B$231,10,0))/100)+((IF(R68=[2]Datos!$B$233,15,0))/100)+((IF(S68=[2]Datos!$B$231,10,0))/100)+((IF(T68=[2]Datos!$B$235,30,0))/100)</f>
        <v>0</v>
      </c>
      <c r="V68" s="131"/>
      <c r="W68" s="128"/>
      <c r="X68" s="131"/>
      <c r="Y68" s="128"/>
      <c r="Z68" s="134"/>
      <c r="AA68" s="18"/>
      <c r="AB68" s="18"/>
      <c r="AC68" s="18"/>
      <c r="AD68" s="18"/>
      <c r="AE68" s="18"/>
      <c r="AF68" s="18"/>
      <c r="AG68" s="23"/>
    </row>
    <row r="69" spans="1:33" ht="15.75" thickBot="1" x14ac:dyDescent="0.3">
      <c r="A69" s="153"/>
      <c r="B69" s="129"/>
      <c r="C69" s="156"/>
      <c r="D69" s="204"/>
      <c r="E69" s="204"/>
      <c r="F69" s="171"/>
      <c r="G69" s="137"/>
      <c r="H69" s="36"/>
      <c r="I69" s="150"/>
      <c r="J69" s="150"/>
      <c r="K69" s="135"/>
      <c r="L69" s="49"/>
      <c r="M69" s="39"/>
      <c r="N69" s="28"/>
      <c r="O69" s="28"/>
      <c r="P69" s="28"/>
      <c r="Q69" s="28"/>
      <c r="R69" s="28"/>
      <c r="S69" s="28"/>
      <c r="T69" s="28"/>
      <c r="U69" s="42">
        <f>((IF(N69=[2]Datos!$B$233,15,0))/100)+((IF(O69=[2]Datos!$B$229,5,0))/100)+((IF(P69=[2]Datos!$B$233,15,0))/100)+((IF(Q69=[2]Datos!$B$231,10,0))/100)+((IF(R69=[2]Datos!$B$233,15,0))/100)+((IF(S69=[2]Datos!$B$231,10,0))/100)+((IF(T69=[2]Datos!$B$235,30,0))/100)</f>
        <v>0</v>
      </c>
      <c r="V69" s="132"/>
      <c r="W69" s="129"/>
      <c r="X69" s="132"/>
      <c r="Y69" s="129"/>
      <c r="Z69" s="135"/>
      <c r="AA69" s="26"/>
      <c r="AB69" s="26"/>
      <c r="AC69" s="26"/>
      <c r="AD69" s="26"/>
      <c r="AE69" s="26"/>
      <c r="AF69" s="26"/>
      <c r="AG69" s="30"/>
    </row>
    <row r="70" spans="1:33" ht="60" x14ac:dyDescent="0.25">
      <c r="A70" s="151" t="s">
        <v>531</v>
      </c>
      <c r="B70" s="127"/>
      <c r="C70" s="154" t="s">
        <v>538</v>
      </c>
      <c r="D70" s="169" t="s">
        <v>381</v>
      </c>
      <c r="E70" s="169"/>
      <c r="F70" s="157" t="s">
        <v>129</v>
      </c>
      <c r="G70" s="147" t="s">
        <v>130</v>
      </c>
      <c r="H70" s="43" t="s">
        <v>128</v>
      </c>
      <c r="I70" s="148" t="s">
        <v>45</v>
      </c>
      <c r="J70" s="148" t="s">
        <v>97</v>
      </c>
      <c r="K70" s="133" t="str">
        <f>IF(AND(I70=[2]Datos!$B$212,J70=[2]Datos!$B$219),[2]Datos!$D$216,IF(AND(I70=[2]Datos!$B$212,J70=[2]Datos!$B$220),[2]Datos!$E$216,IF(AND(I70=[2]Datos!$B$212,J70=[2]Datos!$B$221),[2]Datos!$F$216,IF(AND(I70=[2]Datos!$B$213,J70=[2]Datos!$B$219),[2]Datos!$D$215,IF(AND(I70=[2]Datos!$B$213,J70=[2]Datos!$B$220),[2]Datos!$E$215,IF(AND(I70=[2]Datos!$B$213,J70=[2]Datos!$B$221),[2]Datos!$F$215,IF(AND(I70=[2]Datos!$B$214,J70=[2]Datos!$B$219),[2]Datos!$D$214,IF(AND(I70=[2]Datos!$B$214,J70=[2]Datos!$B$220),[2]Datos!$E$214,IF(AND(I70=[2]Datos!$B$214,J70=[2]Datos!$B$221),[2]Datos!$F$214,IF(AND(I70=[2]Datos!$B$215,J70=[2]Datos!$B$219),[2]Datos!$D$213,IF(AND(I70=[2]Datos!$B$215,J70=[2]Datos!$B$220),[2]Datos!$E$213,IF(AND(I70=[2]Datos!$B$215,J70=[2]Datos!$B$221),[2]Datos!$F$213,IF(AND(I70=[2]Datos!$B$216,J70=[2]Datos!$B$219),[2]Datos!$D$212,IF(AND(I70=[2]Datos!$B$216,J70=[2]Datos!$B$220),[2]Datos!$E$212,IF(AND(I70=[2]Datos!$B$216,J70=[2]Datos!$B$221),[2]Datos!$F$212,"-")))))))))))))))</f>
        <v>MODERADA 15</v>
      </c>
      <c r="L70" s="15" t="s">
        <v>339</v>
      </c>
      <c r="M70" s="37" t="s">
        <v>47</v>
      </c>
      <c r="N70" s="13" t="s">
        <v>48</v>
      </c>
      <c r="O70" s="13" t="s">
        <v>49</v>
      </c>
      <c r="P70" s="13" t="s">
        <v>50</v>
      </c>
      <c r="Q70" s="13" t="s">
        <v>51</v>
      </c>
      <c r="R70" s="13" t="s">
        <v>50</v>
      </c>
      <c r="S70" s="13" t="s">
        <v>51</v>
      </c>
      <c r="T70" s="13" t="s">
        <v>52</v>
      </c>
      <c r="U70" s="40">
        <f>((IF(N70=[2]Datos!$B$233,15,0))/100)+((IF(O70=[2]Datos!$B$229,5,0))/100)+((IF(P70=[2]Datos!$B$233,15,0))/100)+((IF(Q70=[2]Datos!$B$231,10,0))/100)+((IF(R70=[2]Datos!$B$233,15,0))/100)+((IF(S70=[2]Datos!$B$231,10,0))/100)+((IF(T70=[2]Datos!$B$235,30,0))/100)</f>
        <v>0.7</v>
      </c>
      <c r="V70" s="130">
        <f>IF(ISERROR(((IF(M70=[2]Datos!$B$224,U70,0))+(IF(M71=[2]Datos!$B$224,U71,0))+(IF(M72=[2]Datos!$B$224,U72,0))+(IF(M73=[2]Datos!$B$224,U73,0))+(IF(M74=[2]Datos!$B$224,U74,0))+(IF(M75=[2]Datos!$B$224,U75,0)))/((IF(M70=[2]Datos!$B$224,1,0))+(IF(M71=[2]Datos!$B$224,1,0))+(IF(M72=[2]Datos!$B$224,1,0))+(IF(M73=[2]Datos!$B$224,1,0))+(IF(M74=[2]Datos!$B$224,1,0))+(IF(M75=[2]Datos!$B$224,1,0)))),0,(((IF(M70=[2]Datos!$B$224,U70,0))+(IF(M71=[2]Datos!$B$224,U71,0))+(IF(M72=[2]Datos!$B$224,U72,0))+(IF(M73=[2]Datos!$B$224,U73,0))+(IF(M74=[2]Datos!$B$224,U74,0))+(IF(M75=[2]Datos!$B$224,U75,0)))/((IF(M70=[2]Datos!$B$224,1,0))+(IF(M71=[2]Datos!$B$224,1,0))+(IF(M72=[2]Datos!$B$224,1,0))+(IF(M73=[2]Datos!$B$224,1,0))+(IF(M74=[2]Datos!$B$224,1,0))+(IF(M75=[2]Datos!$B$224,1,0)))))</f>
        <v>0.55000000000000004</v>
      </c>
      <c r="W70" s="127" t="str">
        <f>IF(I70="","-",(IF(V70&gt;0,(IF(I70=[2]Datos!$B$212,[2]Datos!$B$212,IF(AND(I70=[2]Datos!$B$213,V70&gt;0.49),[2]Datos!$B$212,IF(AND(I70=[2]Datos!$B$214,V70&gt;0.74),[2]Datos!$B$212,IF(AND(I70=[2]Datos!$B$214,V70&lt;0.75,V70&gt;0.49),[2]Datos!$B$213,IF(AND(I70=[2]Datos!$B$215,V70&gt;0.74),[2]Datos!$B$213,IF(AND(I70=[2]Datos!$B$215,V70&lt;0.75,V70&gt;0.49),[2]Datos!$B$214,IF(AND(I70=[2]Datos!$B$216,V70&gt;0.74),[2]Datos!$B$214,IF(AND(I70=[2]Datos!$B$216,V70&lt;0.75,V70&gt;0.49),[2]Datos!$B$215,I70))))))))),I70)))</f>
        <v>Improbable - 2</v>
      </c>
      <c r="X70" s="130">
        <f>IF(ISERROR(((IF(M70=[2]Datos!$B$225,U70,0))+(IF(M71=[2]Datos!$B$225,U71,0))+(IF(M72=[2]Datos!$B$225,U72,0))+(IF(M73=[2]Datos!$B$225,U73,0))+(IF(M74=[2]Datos!$B$225,U74,0))+(IF(M75=[2]Datos!$B$225,U75,0))+(IF(M70=[2]Datos!$B$226,U70,0))+(IF(M71=[2]Datos!$B$226,U71,0))+(IF(M72=[2]Datos!$B$226,U72,0))+(IF(M73=[2]Datos!$B$226,U73,0))+(IF(M74=[2]Datos!$B$226,U74,0))+(IF(M75=[2]Datos!$B$226,U75,0)))/((IF(M70=[2]Datos!$B$225,1,0))+(IF(M71=[2]Datos!$B$225,1,0))+(IF(M72=[2]Datos!$B$225,1,0))+(IF(M73=[2]Datos!$B$225,1,0))+(IF(M74=[2]Datos!$B$225,1,0))+(IF(M75=[2]Datos!$B$225,1,0))+(IF(M70=[2]Datos!$B$226,1,0))+(IF(M71=[2]Datos!$B$226,1,0))+(IF(M72=[2]Datos!$B$226,1,0))+(IF(M73=[2]Datos!$B$226,1,0))+(IF(M74=[2]Datos!$B$226,1,0))+(IF(M75=[2]Datos!$B$226,1,0)))),0,((IF(M70=[2]Datos!$B$225,U70,0))+(IF(M71=[2]Datos!$B$225,U71,0))+(IF(M72=[2]Datos!$B$225,U72,0))+(IF(M73=[2]Datos!$B$225,U73,0))+(IF(M74=[2]Datos!$B$225,U74,0))+(IF(M75=[2]Datos!$B$225,U75,0))+(IF(M70=[2]Datos!$B$226,U70,0))+(IF(M71=[2]Datos!$B$226,U71,0))+(IF(M72=[2]Datos!$B$226,U72,0))+(IF(M73=[2]Datos!$B$226,U73,0))+(IF(M74=[2]Datos!$B$226,U74,0))+(IF(M75=[2]Datos!$B$226,U75,0)))/((IF(M70=[2]Datos!$B$225,1,0))+(IF(M71=[2]Datos!$B$225,1,0))+(IF(M72=[2]Datos!$B$225,1,0))+(IF(M73=[2]Datos!$B$225,1,0))+(IF(M74=[2]Datos!$B$225,1,0))+(IF(M75=[2]Datos!$B$225,1,0))+(IF(M70=[2]Datos!$B$226,1,0))+(IF(M71=[2]Datos!$B$226,1,0))+(IF(M72=[2]Datos!$B$226,1,0))+(IF(M73=[2]Datos!$B$226,1,0))+(IF(M74=[2]Datos!$B$226,1,0))+(IF(M75=[2]Datos!$B$226,1,0))))</f>
        <v>0</v>
      </c>
      <c r="Y70" s="127" t="str">
        <f>IF(J70="","-",(IF(X70&gt;0,(IF(J70=[2]Datos!$B$219,[2]Datos!$B$219,IF(AND(J70=[2]Datos!$B$220,X70&gt;0.49),[2]Datos!$B$219,IF(AND(J70=[2]Datos!$B$221,X70&gt;0.74),[2]Datos!$B$219,IF(AND(J70=[2]Datos!$B$221,X70&lt;0.75,X70&gt;0.49),[2]Datos!$B$220,IF(AND(J70=[2]Datos!$B$222,X70&gt;0.74),[2]Datos!$B$220,IF(AND(J70=[2]Datos!$B$222,X70&lt;0.75,X70&gt;0.49),[2]Datos!$B$221,IF(AND(J70=[2]Datos!$B$223,X70&gt;0.74),[2]Datos!$B$221,IF(AND(J70=[2]Datos!$B$223,X70&lt;0.75,X70&gt;0.49),[2]Datos!$B$222,J70))))))))),J70)))</f>
        <v>Moderado - 5</v>
      </c>
      <c r="Z70" s="133" t="str">
        <f>IF(AND(W70=[2]Datos!$B$212,Y70=[2]Datos!$B$219),[2]Datos!$D$216,IF(AND(W70=[2]Datos!$B$212,Y70=[2]Datos!$B$220),[2]Datos!$E$216,IF(AND(W70=[2]Datos!$B$212,Y70=[2]Datos!$B$221),[2]Datos!$F$216,IF(AND(W70=[2]Datos!$B$213,Y70=[2]Datos!$B$219),[2]Datos!$D$215,IF(AND(W70=[2]Datos!$B$213,Y70=[2]Datos!$B$220),[2]Datos!$E$215,IF(AND(W70=[2]Datos!$B$213,Y70=[2]Datos!$B$221),[2]Datos!$F$215,IF(AND(W70=[2]Datos!$B$214,Y70=[2]Datos!$B$219),[2]Datos!$D$214,IF(AND(W70=[2]Datos!$B$214,Y70=[2]Datos!$B$220),[2]Datos!$E$214,IF(AND(W70=[2]Datos!$B$214,Y70=[2]Datos!$B$221),[2]Datos!$F$214,IF(AND(W70=[2]Datos!$B$215,Y70=[2]Datos!$B$219),[2]Datos!$D$213,IF(AND(W70=[2]Datos!$B$215,Y70=[2]Datos!$B$220),[2]Datos!$E$213,IF(AND(W70=[2]Datos!$B$215,Y70=[2]Datos!$B$221),[2]Datos!$F$213,IF(AND(W70=[2]Datos!$B$216,Y70=[2]Datos!$B$219),[2]Datos!$D$212,IF(AND(W70=[2]Datos!$B$216,Y70=[2]Datos!$B$220),[2]Datos!$E$212,IF(AND(W70=[2]Datos!$B$216,Y70=[2]Datos!$B$221),[2]Datos!$F$212,"-")))))))))))))))</f>
        <v>BAJA 10</v>
      </c>
      <c r="AA70" s="11"/>
      <c r="AB70" s="11"/>
      <c r="AC70" s="11"/>
      <c r="AD70" s="11"/>
      <c r="AE70" s="11"/>
      <c r="AF70" s="11"/>
      <c r="AG70" s="16"/>
    </row>
    <row r="71" spans="1:33" ht="52.5" customHeight="1" x14ac:dyDescent="0.25">
      <c r="A71" s="152"/>
      <c r="B71" s="128"/>
      <c r="C71" s="155"/>
      <c r="D71" s="202" t="s">
        <v>382</v>
      </c>
      <c r="E71" s="202"/>
      <c r="F71" s="158"/>
      <c r="G71" s="136"/>
      <c r="H71" s="35" t="s">
        <v>122</v>
      </c>
      <c r="I71" s="149"/>
      <c r="J71" s="149"/>
      <c r="K71" s="134"/>
      <c r="L71" s="22" t="s">
        <v>131</v>
      </c>
      <c r="M71" s="38" t="s">
        <v>47</v>
      </c>
      <c r="N71" s="20" t="s">
        <v>48</v>
      </c>
      <c r="O71" s="20" t="s">
        <v>49</v>
      </c>
      <c r="P71" s="20" t="s">
        <v>50</v>
      </c>
      <c r="Q71" s="20" t="s">
        <v>51</v>
      </c>
      <c r="R71" s="20" t="s">
        <v>50</v>
      </c>
      <c r="S71" s="20" t="s">
        <v>51</v>
      </c>
      <c r="T71" s="20" t="s">
        <v>50</v>
      </c>
      <c r="U71" s="41">
        <f>((IF(N71=[2]Datos!$B$233,15,0))/100)+((IF(O71=[2]Datos!$B$229,5,0))/100)+((IF(P71=[2]Datos!$B$233,15,0))/100)+((IF(Q71=[2]Datos!$B$231,10,0))/100)+((IF(R71=[2]Datos!$B$233,15,0))/100)+((IF(S71=[2]Datos!$B$231,10,0))/100)+((IF(T71=[2]Datos!$B$235,30,0))/100)</f>
        <v>0.4</v>
      </c>
      <c r="V71" s="131"/>
      <c r="W71" s="128"/>
      <c r="X71" s="131"/>
      <c r="Y71" s="128"/>
      <c r="Z71" s="134"/>
      <c r="AA71" s="18"/>
      <c r="AB71" s="18"/>
      <c r="AC71" s="18"/>
      <c r="AD71" s="18"/>
      <c r="AE71" s="18"/>
      <c r="AF71" s="18"/>
      <c r="AG71" s="23"/>
    </row>
    <row r="72" spans="1:33" ht="43.5" customHeight="1" x14ac:dyDescent="0.25">
      <c r="A72" s="152"/>
      <c r="B72" s="128"/>
      <c r="C72" s="155"/>
      <c r="D72" s="203" t="s">
        <v>121</v>
      </c>
      <c r="E72" s="203"/>
      <c r="F72" s="158"/>
      <c r="G72" s="136"/>
      <c r="H72" s="35" t="s">
        <v>132</v>
      </c>
      <c r="I72" s="149"/>
      <c r="J72" s="149"/>
      <c r="K72" s="134"/>
      <c r="L72" s="22"/>
      <c r="M72" s="38"/>
      <c r="N72" s="20"/>
      <c r="O72" s="20"/>
      <c r="P72" s="20"/>
      <c r="Q72" s="20"/>
      <c r="R72" s="20"/>
      <c r="S72" s="20"/>
      <c r="T72" s="20"/>
      <c r="U72" s="41">
        <f>((IF(N72=[2]Datos!$B$233,15,0))/100)+((IF(O72=[2]Datos!$B$229,5,0))/100)+((IF(P72=[2]Datos!$B$233,15,0))/100)+((IF(Q72=[2]Datos!$B$231,10,0))/100)+((IF(R72=[2]Datos!$B$233,15,0))/100)+((IF(S72=[2]Datos!$B$231,10,0))/100)+((IF(T72=[2]Datos!$B$235,30,0))/100)</f>
        <v>0</v>
      </c>
      <c r="V72" s="131"/>
      <c r="W72" s="128"/>
      <c r="X72" s="131"/>
      <c r="Y72" s="128"/>
      <c r="Z72" s="134"/>
      <c r="AA72" s="18"/>
      <c r="AB72" s="18"/>
      <c r="AC72" s="18"/>
      <c r="AD72" s="18"/>
      <c r="AE72" s="18"/>
      <c r="AF72" s="18"/>
      <c r="AG72" s="23"/>
    </row>
    <row r="73" spans="1:33" x14ac:dyDescent="0.25">
      <c r="A73" s="152"/>
      <c r="B73" s="128"/>
      <c r="C73" s="155"/>
      <c r="D73" s="136"/>
      <c r="E73" s="136"/>
      <c r="F73" s="158"/>
      <c r="G73" s="136"/>
      <c r="H73" s="35"/>
      <c r="I73" s="149"/>
      <c r="J73" s="149"/>
      <c r="K73" s="134"/>
      <c r="L73" s="22"/>
      <c r="M73" s="38"/>
      <c r="N73" s="20"/>
      <c r="O73" s="20"/>
      <c r="P73" s="20"/>
      <c r="Q73" s="20"/>
      <c r="R73" s="20"/>
      <c r="S73" s="20"/>
      <c r="T73" s="20"/>
      <c r="U73" s="41">
        <f>((IF(N73=[2]Datos!$B$233,15,0))/100)+((IF(O73=[2]Datos!$B$229,5,0))/100)+((IF(P73=[2]Datos!$B$233,15,0))/100)+((IF(Q73=[2]Datos!$B$231,10,0))/100)+((IF(R73=[2]Datos!$B$233,15,0))/100)+((IF(S73=[2]Datos!$B$231,10,0))/100)+((IF(T73=[2]Datos!$B$235,30,0))/100)</f>
        <v>0</v>
      </c>
      <c r="V73" s="131"/>
      <c r="W73" s="128"/>
      <c r="X73" s="131"/>
      <c r="Y73" s="128"/>
      <c r="Z73" s="134"/>
      <c r="AA73" s="18"/>
      <c r="AB73" s="18"/>
      <c r="AC73" s="18"/>
      <c r="AD73" s="18"/>
      <c r="AE73" s="18"/>
      <c r="AF73" s="18"/>
      <c r="AG73" s="23"/>
    </row>
    <row r="74" spans="1:33" x14ac:dyDescent="0.25">
      <c r="A74" s="152"/>
      <c r="B74" s="128"/>
      <c r="C74" s="155"/>
      <c r="D74" s="136"/>
      <c r="E74" s="136"/>
      <c r="F74" s="158"/>
      <c r="G74" s="136"/>
      <c r="H74" s="35"/>
      <c r="I74" s="149"/>
      <c r="J74" s="149"/>
      <c r="K74" s="134"/>
      <c r="L74" s="22"/>
      <c r="M74" s="38"/>
      <c r="N74" s="20"/>
      <c r="O74" s="20"/>
      <c r="P74" s="20"/>
      <c r="Q74" s="20"/>
      <c r="R74" s="20"/>
      <c r="S74" s="20"/>
      <c r="T74" s="20"/>
      <c r="U74" s="41">
        <f>((IF(N74=[2]Datos!$B$233,15,0))/100)+((IF(O74=[2]Datos!$B$229,5,0))/100)+((IF(P74=[2]Datos!$B$233,15,0))/100)+((IF(Q74=[2]Datos!$B$231,10,0))/100)+((IF(R74=[2]Datos!$B$233,15,0))/100)+((IF(S74=[2]Datos!$B$231,10,0))/100)+((IF(T74=[2]Datos!$B$235,30,0))/100)</f>
        <v>0</v>
      </c>
      <c r="V74" s="131"/>
      <c r="W74" s="128"/>
      <c r="X74" s="131"/>
      <c r="Y74" s="128"/>
      <c r="Z74" s="134"/>
      <c r="AA74" s="18"/>
      <c r="AB74" s="18"/>
      <c r="AC74" s="18"/>
      <c r="AD74" s="18"/>
      <c r="AE74" s="18"/>
      <c r="AF74" s="18"/>
      <c r="AG74" s="23"/>
    </row>
    <row r="75" spans="1:33" ht="15.75" thickBot="1" x14ac:dyDescent="0.3">
      <c r="A75" s="153"/>
      <c r="B75" s="129"/>
      <c r="C75" s="156"/>
      <c r="D75" s="137"/>
      <c r="E75" s="137"/>
      <c r="F75" s="159"/>
      <c r="G75" s="137"/>
      <c r="H75" s="36"/>
      <c r="I75" s="150"/>
      <c r="J75" s="150"/>
      <c r="K75" s="135"/>
      <c r="L75" s="49"/>
      <c r="M75" s="39"/>
      <c r="N75" s="28"/>
      <c r="O75" s="28"/>
      <c r="P75" s="28"/>
      <c r="Q75" s="28"/>
      <c r="R75" s="28"/>
      <c r="S75" s="28"/>
      <c r="T75" s="28"/>
      <c r="U75" s="42">
        <f>((IF(N75=[2]Datos!$B$233,15,0))/100)+((IF(O75=[2]Datos!$B$229,5,0))/100)+((IF(P75=[2]Datos!$B$233,15,0))/100)+((IF(Q75=[2]Datos!$B$231,10,0))/100)+((IF(R75=[2]Datos!$B$233,15,0))/100)+((IF(S75=[2]Datos!$B$231,10,0))/100)+((IF(T75=[2]Datos!$B$235,30,0))/100)</f>
        <v>0</v>
      </c>
      <c r="V75" s="132"/>
      <c r="W75" s="129"/>
      <c r="X75" s="132"/>
      <c r="Y75" s="129"/>
      <c r="Z75" s="135"/>
      <c r="AA75" s="26"/>
      <c r="AB75" s="26"/>
      <c r="AC75" s="26"/>
      <c r="AD75" s="26"/>
      <c r="AE75" s="26"/>
      <c r="AF75" s="26"/>
      <c r="AG75" s="30"/>
    </row>
    <row r="76" spans="1:33" ht="32.25" customHeight="1" x14ac:dyDescent="0.25">
      <c r="A76" s="138" t="s">
        <v>133</v>
      </c>
      <c r="B76" s="139"/>
      <c r="C76" s="144" t="s">
        <v>438</v>
      </c>
      <c r="D76" s="200" t="s">
        <v>453</v>
      </c>
      <c r="E76" s="201"/>
      <c r="F76" s="157" t="s">
        <v>134</v>
      </c>
      <c r="G76" s="147" t="s">
        <v>135</v>
      </c>
      <c r="H76" s="95" t="s">
        <v>398</v>
      </c>
      <c r="I76" s="148" t="s">
        <v>45</v>
      </c>
      <c r="J76" s="148" t="s">
        <v>85</v>
      </c>
      <c r="K76" s="133" t="str">
        <f>IF(AND(I76=[3]Datos!$B$212,J76=[3]Datos!$B$219),[3]Datos!$D$216,IF(AND(I76=[3]Datos!$B$212,J76=[3]Datos!$B$220),[3]Datos!$E$216,IF(AND(I76=[3]Datos!$B$212,J76=[3]Datos!$B$221),[3]Datos!$F$216,IF(AND(I76=[3]Datos!$B$213,J76=[3]Datos!$B$219),[3]Datos!$D$215,IF(AND(I76=[3]Datos!$B$213,J76=[3]Datos!$B$220),[3]Datos!$E$215,IF(AND(I76=[3]Datos!$B$213,J76=[3]Datos!$B$221),[3]Datos!$F$215,IF(AND(I76=[3]Datos!$B$214,J76=[3]Datos!$B$219),[3]Datos!$D$214,IF(AND(I76=[3]Datos!$B$214,J76=[3]Datos!$B$220),[3]Datos!$E$214,IF(AND(I76=[3]Datos!$B$214,J76=[3]Datos!$B$221),[3]Datos!$F$214,IF(AND(I76=[3]Datos!$B$215,J76=[3]Datos!$B$219),[3]Datos!$D$213,IF(AND(I76=[3]Datos!$B$215,J76=[3]Datos!$B$220),[3]Datos!$E$213,IF(AND(I76=[3]Datos!$B$215,J76=[3]Datos!$B$221),[3]Datos!$F$213,IF(AND(I76=[3]Datos!$B$216,J76=[3]Datos!$B$219),[3]Datos!$D$212,IF(AND(I76=[3]Datos!$B$216,J76=[3]Datos!$B$220),[3]Datos!$E$212,IF(AND(I76=[3]Datos!$B$216,J76=[3]Datos!$B$221),[3]Datos!$F$212,"-")))))))))))))))</f>
        <v>ALTA 30</v>
      </c>
      <c r="L76" s="15" t="s">
        <v>136</v>
      </c>
      <c r="M76" s="37" t="s">
        <v>47</v>
      </c>
      <c r="N76" s="13" t="s">
        <v>50</v>
      </c>
      <c r="O76" s="13" t="s">
        <v>49</v>
      </c>
      <c r="P76" s="13" t="s">
        <v>50</v>
      </c>
      <c r="Q76" s="13" t="s">
        <v>51</v>
      </c>
      <c r="R76" s="13" t="s">
        <v>48</v>
      </c>
      <c r="S76" s="13" t="s">
        <v>51</v>
      </c>
      <c r="T76" s="13" t="s">
        <v>52</v>
      </c>
      <c r="U76" s="40">
        <f>((IF(N76=[3]Datos!$B$233,15,0))/100)+((IF(O76=[3]Datos!$B$229,5,0))/100)+((IF(P76=[3]Datos!$B$233,15,0))/100)+((IF(Q76=[3]Datos!$B$231,10,0))/100)+((IF(R76=[3]Datos!$B$233,15,0))/100)+((IF(S76=[3]Datos!$B$231,10,0))/100)+((IF(T76=[3]Datos!$B$235,30,0))/100)</f>
        <v>0.7</v>
      </c>
      <c r="V76" s="130">
        <f>IF(ISERROR(((IF(M76=[3]Datos!$B$224,U76,0))+(IF(M77=[3]Datos!$B$224,U77,0))+(IF(M78=[3]Datos!$B$224,U78,0))+(IF(M79=[3]Datos!$B$224,U79,0))+(IF(M80=[3]Datos!$B$224,U80,0))+(IF(M81=[3]Datos!$B$224,U81,0)))/((IF(M76=[3]Datos!$B$224,1,0))+(IF(M77=[3]Datos!$B$224,1,0))+(IF(M78=[3]Datos!$B$224,1,0))+(IF(M79=[3]Datos!$B$224,1,0))+(IF(M80=[3]Datos!$B$224,1,0))+(IF(M81=[3]Datos!$B$224,1,0)))),0,(((IF(M76=[3]Datos!$B$224,U76,0))+(IF(M77=[3]Datos!$B$224,U77,0))+(IF(M78=[3]Datos!$B$224,U78,0))+(IF(M79=[3]Datos!$B$224,U79,0))+(IF(M80=[3]Datos!$B$224,U80,0))+(IF(M81=[3]Datos!$B$224,U81,0)))/((IF(M76=[3]Datos!$B$224,1,0))+(IF(M77=[3]Datos!$B$224,1,0))+(IF(M78=[3]Datos!$B$224,1,0))+(IF(M79=[3]Datos!$B$224,1,0))+(IF(M80=[3]Datos!$B$224,1,0))+(IF(M81=[3]Datos!$B$224,1,0)))))</f>
        <v>0.77500000000000002</v>
      </c>
      <c r="W76" s="127" t="str">
        <f>IF(I76="","-",(IF(V76&gt;0,(IF(I76=[3]Datos!$B$212,[3]Datos!$B$212,IF(AND(I76=[3]Datos!$B$213,V76&gt;0.49),[3]Datos!$B$212,IF(AND(I76=[3]Datos!$B$214,V76&gt;0.74),[3]Datos!$B$212,IF(AND(I76=[3]Datos!$B$214,V76&lt;0.75,V76&gt;0.49),[3]Datos!$B$213,IF(AND(I76=[3]Datos!$B$215,V76&gt;0.74),[3]Datos!$B$213,IF(AND(I76=[3]Datos!$B$215,V76&lt;0.75,V76&gt;0.49),[3]Datos!$B$214,IF(AND(I76=[3]Datos!$B$216,V76&gt;0.74),[3]Datos!$B$214,IF(AND(I76=[3]Datos!$B$216,V76&lt;0.75,V76&gt;0.49),[3]Datos!$B$215,I76))))))))),I76)))</f>
        <v>Rara vez - 1</v>
      </c>
      <c r="X76" s="130">
        <f>IF(ISERROR(((IF(M76=[3]Datos!$B$225,U76,0))+(IF(M77=[3]Datos!$B$225,U77,0))+(IF(M78=[3]Datos!$B$225,U78,0))+(IF(M79=[3]Datos!$B$225,U79,0))+(IF(M80=[3]Datos!$B$225,U80,0))+(IF(M81=[3]Datos!$B$225,U81,0))+(IF(M76=[3]Datos!$B$226,U76,0))+(IF(M77=[3]Datos!$B$226,U77,0))+(IF(M78=[3]Datos!$B$226,U78,0))+(IF(M79=[3]Datos!$B$226,U79,0))+(IF(M80=[3]Datos!$B$226,U80,0))+(IF(M81=[3]Datos!$B$226,U81,0)))/((IF(M76=[3]Datos!$B$225,1,0))+(IF(M77=[3]Datos!$B$225,1,0))+(IF(M78=[3]Datos!$B$225,1,0))+(IF(M79=[3]Datos!$B$225,1,0))+(IF(M80=[3]Datos!$B$225,1,0))+(IF(M81=[3]Datos!$B$225,1,0))+(IF(M76=[3]Datos!$B$226,1,0))+(IF(M77=[3]Datos!$B$226,1,0))+(IF(M78=[3]Datos!$B$226,1,0))+(IF(M79=[3]Datos!$B$226,1,0))+(IF(M80=[3]Datos!$B$226,1,0))+(IF(M81=[3]Datos!$B$226,1,0)))),0,((IF(M76=[3]Datos!$B$225,U76,0))+(IF(M77=[3]Datos!$B$225,U77,0))+(IF(M78=[3]Datos!$B$225,U78,0))+(IF(M79=[3]Datos!$B$225,U79,0))+(IF(M80=[3]Datos!$B$225,U80,0))+(IF(M81=[3]Datos!$B$225,U81,0))+(IF(M76=[3]Datos!$B$226,U76,0))+(IF(M77=[3]Datos!$B$226,U77,0))+(IF(M78=[3]Datos!$B$226,U78,0))+(IF(M79=[3]Datos!$B$226,U79,0))+(IF(M80=[3]Datos!$B$226,U80,0))+(IF(M81=[3]Datos!$B$226,U81,0)))/((IF(M76=[3]Datos!$B$225,1,0))+(IF(M77=[3]Datos!$B$225,1,0))+(IF(M78=[3]Datos!$B$225,1,0))+(IF(M79=[3]Datos!$B$225,1,0))+(IF(M80=[3]Datos!$B$225,1,0))+(IF(M81=[3]Datos!$B$225,1,0))+(IF(M76=[3]Datos!$B$226,1,0))+(IF(M77=[3]Datos!$B$226,1,0))+(IF(M78=[3]Datos!$B$226,1,0))+(IF(M79=[3]Datos!$B$226,1,0))+(IF(M80=[3]Datos!$B$226,1,0))+(IF(M81=[3]Datos!$B$226,1,0))))</f>
        <v>0</v>
      </c>
      <c r="Y76" s="127" t="str">
        <f>IF(J76="","-",(IF(X76&gt;0,(IF(J76=[3]Datos!$B$219,[3]Datos!$B$219,IF(AND(J76=[3]Datos!$B$220,X76&gt;0.49),[3]Datos!$B$219,IF(AND(J76=[3]Datos!$B$221,X76&gt;0.74),[3]Datos!$B$219,IF(AND(J76=[3]Datos!$B$221,X76&lt;0.75,X76&gt;0.49),[3]Datos!$B$220,IF(AND(J76=[3]Datos!$B$222,X76&gt;0.74),[3]Datos!$B$220,IF(AND(J76=[3]Datos!$B$222,X76&lt;0.75,X76&gt;0.49),[3]Datos!$B$221,IF(AND(J76=[3]Datos!$B$223,X76&gt;0.74),[3]Datos!$B$221,IF(AND(J76=[3]Datos!$B$223,X76&lt;0.75,X76&gt;0.49),[3]Datos!$B$222,J76))))))))),J76)))</f>
        <v>Mayor - 10</v>
      </c>
      <c r="Z76" s="133" t="str">
        <f>IF(AND(W76=[3]Datos!$B$212,Y76=[3]Datos!$B$219),[3]Datos!$D$216,IF(AND(W76=[3]Datos!$B$212,Y76=[3]Datos!$B$220),[3]Datos!$E$216,IF(AND(W76=[3]Datos!$B$212,Y76=[3]Datos!$B$221),[3]Datos!$F$216,IF(AND(W76=[3]Datos!$B$213,Y76=[3]Datos!$B$219),[3]Datos!$D$215,IF(AND(W76=[3]Datos!$B$213,Y76=[3]Datos!$B$220),[3]Datos!$E$215,IF(AND(W76=[3]Datos!$B$213,Y76=[3]Datos!$B$221),[3]Datos!$F$215,IF(AND(W76=[3]Datos!$B$214,Y76=[3]Datos!$B$219),[3]Datos!$D$214,IF(AND(W76=[3]Datos!$B$214,Y76=[3]Datos!$B$220),[3]Datos!$E$214,IF(AND(W76=[3]Datos!$B$214,Y76=[3]Datos!$B$221),[3]Datos!$F$214,IF(AND(W76=[3]Datos!$B$215,Y76=[3]Datos!$B$219),[3]Datos!$D$213,IF(AND(W76=[3]Datos!$B$215,Y76=[3]Datos!$B$220),[3]Datos!$E$213,IF(AND(W76=[3]Datos!$B$215,Y76=[3]Datos!$B$221),[3]Datos!$F$213,IF(AND(W76=[3]Datos!$B$216,Y76=[3]Datos!$B$219),[3]Datos!$D$212,IF(AND(W76=[3]Datos!$B$216,Y76=[3]Datos!$B$220),[3]Datos!$E$212,IF(AND(W76=[3]Datos!$B$216,Y76=[3]Datos!$B$221),[3]Datos!$F$212,"-")))))))))))))))</f>
        <v>BAJA 10</v>
      </c>
      <c r="AA76" s="11"/>
      <c r="AB76" s="11"/>
      <c r="AC76" s="11"/>
      <c r="AD76" s="11"/>
      <c r="AE76" s="11"/>
      <c r="AF76" s="11"/>
      <c r="AG76" s="16"/>
    </row>
    <row r="77" spans="1:33" ht="26.25" customHeight="1" x14ac:dyDescent="0.25">
      <c r="A77" s="140"/>
      <c r="B77" s="141"/>
      <c r="C77" s="145"/>
      <c r="D77" s="197" t="s">
        <v>454</v>
      </c>
      <c r="E77" s="198"/>
      <c r="F77" s="158"/>
      <c r="G77" s="136"/>
      <c r="H77" s="96" t="s">
        <v>399</v>
      </c>
      <c r="I77" s="149"/>
      <c r="J77" s="149"/>
      <c r="K77" s="134"/>
      <c r="L77" s="22" t="s">
        <v>137</v>
      </c>
      <c r="M77" s="38" t="s">
        <v>47</v>
      </c>
      <c r="N77" s="20" t="s">
        <v>48</v>
      </c>
      <c r="O77" s="20" t="s">
        <v>49</v>
      </c>
      <c r="P77" s="20" t="s">
        <v>50</v>
      </c>
      <c r="Q77" s="20" t="s">
        <v>51</v>
      </c>
      <c r="R77" s="20" t="s">
        <v>48</v>
      </c>
      <c r="S77" s="20" t="s">
        <v>51</v>
      </c>
      <c r="T77" s="20" t="s">
        <v>52</v>
      </c>
      <c r="U77" s="41">
        <f>((IF(N77=[3]Datos!$B$233,15,0))/100)+((IF(O77=[3]Datos!$B$229,5,0))/100)+((IF(P77=[3]Datos!$B$233,15,0))/100)+((IF(Q77=[3]Datos!$B$231,10,0))/100)+((IF(R77=[3]Datos!$B$233,15,0))/100)+((IF(S77=[3]Datos!$B$231,10,0))/100)+((IF(T77=[3]Datos!$B$235,30,0))/100)</f>
        <v>0.85000000000000009</v>
      </c>
      <c r="V77" s="131"/>
      <c r="W77" s="128"/>
      <c r="X77" s="131"/>
      <c r="Y77" s="128"/>
      <c r="Z77" s="134"/>
      <c r="AA77" s="18"/>
      <c r="AB77" s="18"/>
      <c r="AC77" s="18"/>
      <c r="AD77" s="18"/>
      <c r="AE77" s="18"/>
      <c r="AF77" s="18"/>
      <c r="AG77" s="23"/>
    </row>
    <row r="78" spans="1:33" ht="52.5" customHeight="1" x14ac:dyDescent="0.25">
      <c r="A78" s="140"/>
      <c r="B78" s="141"/>
      <c r="C78" s="145"/>
      <c r="D78" s="197" t="s">
        <v>455</v>
      </c>
      <c r="E78" s="198"/>
      <c r="F78" s="158"/>
      <c r="G78" s="136"/>
      <c r="H78" s="96" t="s">
        <v>400</v>
      </c>
      <c r="I78" s="149"/>
      <c r="J78" s="149"/>
      <c r="K78" s="134"/>
      <c r="L78" s="22"/>
      <c r="M78" s="38"/>
      <c r="N78" s="20"/>
      <c r="O78" s="20"/>
      <c r="P78" s="20"/>
      <c r="Q78" s="20"/>
      <c r="R78" s="20"/>
      <c r="S78" s="20"/>
      <c r="T78" s="20"/>
      <c r="U78" s="41">
        <f>((IF(N78=[3]Datos!$B$233,15,0))/100)+((IF(O78=[3]Datos!$B$229,5,0))/100)+((IF(P78=[3]Datos!$B$233,15,0))/100)+((IF(Q78=[3]Datos!$B$231,10,0))/100)+((IF(R78=[3]Datos!$B$233,15,0))/100)+((IF(S78=[3]Datos!$B$231,10,0))/100)+((IF(T78=[3]Datos!$B$235,30,0))/100)</f>
        <v>0</v>
      </c>
      <c r="V78" s="131"/>
      <c r="W78" s="128"/>
      <c r="X78" s="131"/>
      <c r="Y78" s="128"/>
      <c r="Z78" s="134"/>
      <c r="AA78" s="18"/>
      <c r="AB78" s="18"/>
      <c r="AC78" s="18"/>
      <c r="AD78" s="18"/>
      <c r="AE78" s="18"/>
      <c r="AF78" s="18"/>
      <c r="AG78" s="23"/>
    </row>
    <row r="79" spans="1:33" ht="38.25" customHeight="1" x14ac:dyDescent="0.25">
      <c r="A79" s="140"/>
      <c r="B79" s="141"/>
      <c r="C79" s="145"/>
      <c r="D79" s="197" t="s">
        <v>456</v>
      </c>
      <c r="E79" s="198"/>
      <c r="F79" s="158"/>
      <c r="G79" s="136"/>
      <c r="H79" s="96" t="s">
        <v>401</v>
      </c>
      <c r="I79" s="149"/>
      <c r="J79" s="149"/>
      <c r="K79" s="134"/>
      <c r="L79" s="22"/>
      <c r="M79" s="38"/>
      <c r="N79" s="20"/>
      <c r="O79" s="20"/>
      <c r="P79" s="20"/>
      <c r="Q79" s="20"/>
      <c r="R79" s="20"/>
      <c r="S79" s="20"/>
      <c r="T79" s="20"/>
      <c r="U79" s="41">
        <f>((IF(N79=[3]Datos!$B$233,15,0))/100)+((IF(O79=[3]Datos!$B$229,5,0))/100)+((IF(P79=[3]Datos!$B$233,15,0))/100)+((IF(Q79=[3]Datos!$B$231,10,0))/100)+((IF(R79=[3]Datos!$B$233,15,0))/100)+((IF(S79=[3]Datos!$B$231,10,0))/100)+((IF(T79=[3]Datos!$B$235,30,0))/100)</f>
        <v>0</v>
      </c>
      <c r="V79" s="131"/>
      <c r="W79" s="128"/>
      <c r="X79" s="131"/>
      <c r="Y79" s="128"/>
      <c r="Z79" s="134"/>
      <c r="AA79" s="18"/>
      <c r="AB79" s="18"/>
      <c r="AC79" s="18"/>
      <c r="AD79" s="18"/>
      <c r="AE79" s="18"/>
      <c r="AF79" s="18"/>
      <c r="AG79" s="23"/>
    </row>
    <row r="80" spans="1:33" ht="33.75" customHeight="1" x14ac:dyDescent="0.25">
      <c r="A80" s="140"/>
      <c r="B80" s="141"/>
      <c r="C80" s="145"/>
      <c r="D80" s="170" t="s">
        <v>457</v>
      </c>
      <c r="E80" s="170"/>
      <c r="F80" s="158"/>
      <c r="G80" s="136"/>
      <c r="H80" s="96"/>
      <c r="I80" s="149"/>
      <c r="J80" s="149"/>
      <c r="K80" s="134"/>
      <c r="L80" s="22"/>
      <c r="M80" s="38"/>
      <c r="N80" s="20"/>
      <c r="O80" s="20"/>
      <c r="P80" s="20"/>
      <c r="Q80" s="20"/>
      <c r="R80" s="20"/>
      <c r="S80" s="20"/>
      <c r="T80" s="20"/>
      <c r="U80" s="41">
        <f>((IF(N80=[3]Datos!$B$233,15,0))/100)+((IF(O80=[3]Datos!$B$229,5,0))/100)+((IF(P80=[3]Datos!$B$233,15,0))/100)+((IF(Q80=[3]Datos!$B$231,10,0))/100)+((IF(R80=[3]Datos!$B$233,15,0))/100)+((IF(S80=[3]Datos!$B$231,10,0))/100)+((IF(T80=[3]Datos!$B$235,30,0))/100)</f>
        <v>0</v>
      </c>
      <c r="V80" s="131"/>
      <c r="W80" s="128"/>
      <c r="X80" s="131"/>
      <c r="Y80" s="128"/>
      <c r="Z80" s="134"/>
      <c r="AA80" s="18"/>
      <c r="AB80" s="18"/>
      <c r="AC80" s="18"/>
      <c r="AD80" s="18"/>
      <c r="AE80" s="18"/>
      <c r="AF80" s="18"/>
      <c r="AG80" s="23"/>
    </row>
    <row r="81" spans="1:33" ht="15.75" thickBot="1" x14ac:dyDescent="0.3">
      <c r="A81" s="142"/>
      <c r="B81" s="143"/>
      <c r="C81" s="146"/>
      <c r="D81" s="137"/>
      <c r="E81" s="137"/>
      <c r="F81" s="159"/>
      <c r="G81" s="137"/>
      <c r="H81" s="97"/>
      <c r="I81" s="150"/>
      <c r="J81" s="150"/>
      <c r="K81" s="135"/>
      <c r="L81" s="49"/>
      <c r="M81" s="39"/>
      <c r="N81" s="28"/>
      <c r="O81" s="28"/>
      <c r="P81" s="28"/>
      <c r="Q81" s="28"/>
      <c r="R81" s="28"/>
      <c r="S81" s="28"/>
      <c r="T81" s="28"/>
      <c r="U81" s="42">
        <f>((IF(N81=[3]Datos!$B$233,15,0))/100)+((IF(O81=[3]Datos!$B$229,5,0))/100)+((IF(P81=[3]Datos!$B$233,15,0))/100)+((IF(Q81=[3]Datos!$B$231,10,0))/100)+((IF(R81=[3]Datos!$B$233,15,0))/100)+((IF(S81=[3]Datos!$B$231,10,0))/100)+((IF(T81=[3]Datos!$B$235,30,0))/100)</f>
        <v>0</v>
      </c>
      <c r="V81" s="132"/>
      <c r="W81" s="129"/>
      <c r="X81" s="132"/>
      <c r="Y81" s="129"/>
      <c r="Z81" s="135"/>
      <c r="AA81" s="26"/>
      <c r="AB81" s="26"/>
      <c r="AC81" s="26"/>
      <c r="AD81" s="26"/>
      <c r="AE81" s="26"/>
      <c r="AF81" s="26"/>
      <c r="AG81" s="30"/>
    </row>
    <row r="82" spans="1:33" ht="34.5" customHeight="1" x14ac:dyDescent="0.25">
      <c r="A82" s="138" t="s">
        <v>133</v>
      </c>
      <c r="B82" s="139"/>
      <c r="C82" s="144" t="s">
        <v>438</v>
      </c>
      <c r="D82" s="147" t="s">
        <v>458</v>
      </c>
      <c r="E82" s="147"/>
      <c r="F82" s="147" t="s">
        <v>340</v>
      </c>
      <c r="G82" s="169" t="s">
        <v>387</v>
      </c>
      <c r="H82" s="95" t="s">
        <v>402</v>
      </c>
      <c r="I82" s="148" t="s">
        <v>45</v>
      </c>
      <c r="J82" s="148" t="s">
        <v>85</v>
      </c>
      <c r="K82" s="133" t="str">
        <f>IF(AND(I82=[3]Datos!$B$212,J82=[3]Datos!$B$219),[3]Datos!$D$216,IF(AND(I82=[3]Datos!$B$212,J82=[3]Datos!$B$220),[3]Datos!$E$216,IF(AND(I82=[3]Datos!$B$212,J82=[3]Datos!$B$221),[3]Datos!$F$216,IF(AND(I82=[3]Datos!$B$213,J82=[3]Datos!$B$219),[3]Datos!$D$215,IF(AND(I82=[3]Datos!$B$213,J82=[3]Datos!$B$220),[3]Datos!$E$215,IF(AND(I82=[3]Datos!$B$213,J82=[3]Datos!$B$221),[3]Datos!$F$215,IF(AND(I82=[3]Datos!$B$214,J82=[3]Datos!$B$219),[3]Datos!$D$214,IF(AND(I82=[3]Datos!$B$214,J82=[3]Datos!$B$220),[3]Datos!$E$214,IF(AND(I82=[3]Datos!$B$214,J82=[3]Datos!$B$221),[3]Datos!$F$214,IF(AND(I82=[3]Datos!$B$215,J82=[3]Datos!$B$219),[3]Datos!$D$213,IF(AND(I82=[3]Datos!$B$215,J82=[3]Datos!$B$220),[3]Datos!$E$213,IF(AND(I82=[3]Datos!$B$215,J82=[3]Datos!$B$221),[3]Datos!$F$213,IF(AND(I82=[3]Datos!$B$216,J82=[3]Datos!$B$219),[3]Datos!$D$212,IF(AND(I82=[3]Datos!$B$216,J82=[3]Datos!$B$220),[3]Datos!$E$212,IF(AND(I82=[3]Datos!$B$216,J82=[3]Datos!$B$221),[3]Datos!$F$212,"-")))))))))))))))</f>
        <v>ALTA 30</v>
      </c>
      <c r="L82" s="15" t="s">
        <v>138</v>
      </c>
      <c r="M82" s="37" t="s">
        <v>47</v>
      </c>
      <c r="N82" s="13" t="s">
        <v>50</v>
      </c>
      <c r="O82" s="13" t="s">
        <v>49</v>
      </c>
      <c r="P82" s="13" t="s">
        <v>50</v>
      </c>
      <c r="Q82" s="13" t="s">
        <v>51</v>
      </c>
      <c r="R82" s="13" t="s">
        <v>50</v>
      </c>
      <c r="S82" s="13" t="s">
        <v>50</v>
      </c>
      <c r="T82" s="13" t="s">
        <v>50</v>
      </c>
      <c r="U82" s="40">
        <f>((IF(N82=[3]Datos!$B$233,15,0))/100)+((IF(O82=[3]Datos!$B$229,5,0))/100)+((IF(P82=[3]Datos!$B$233,15,0))/100)+((IF(Q82=[3]Datos!$B$231,10,0))/100)+((IF(R82=[3]Datos!$B$233,15,0))/100)+((IF(S82=[3]Datos!$B$231,10,0))/100)+((IF(T82=[3]Datos!$B$235,30,0))/100)</f>
        <v>0.15000000000000002</v>
      </c>
      <c r="V82" s="130">
        <f>IF(ISERROR(((IF(M82=[3]Datos!$B$224,U82,0))+(IF(M83=[3]Datos!$B$224,U83,0))+(IF(M84=[3]Datos!$B$224,U84,0))+(IF(M85=[3]Datos!$B$224,U85,0))+(IF(M86=[3]Datos!$B$224,U86,0))+(IF(M87=[3]Datos!$B$224,U87,0)))/((IF(M82=[3]Datos!$B$224,1,0))+(IF(M83=[3]Datos!$B$224,1,0))+(IF(M84=[3]Datos!$B$224,1,0))+(IF(M85=[3]Datos!$B$224,1,0))+(IF(M86=[3]Datos!$B$224,1,0))+(IF(M87=[3]Datos!$B$224,1,0)))),0,(((IF(M82=[3]Datos!$B$224,U82,0))+(IF(M83=[3]Datos!$B$224,U83,0))+(IF(M84=[3]Datos!$B$224,U84,0))+(IF(M85=[3]Datos!$B$224,U85,0))+(IF(M86=[3]Datos!$B$224,U86,0))+(IF(M87=[3]Datos!$B$224,U87,0)))/((IF(M82=[3]Datos!$B$224,1,0))+(IF(M83=[3]Datos!$B$224,1,0))+(IF(M84=[3]Datos!$B$224,1,0))+(IF(M85=[3]Datos!$B$224,1,0))+(IF(M86=[3]Datos!$B$224,1,0))+(IF(M87=[3]Datos!$B$224,1,0)))))</f>
        <v>0.57499999999999996</v>
      </c>
      <c r="W82" s="127" t="str">
        <f>IF(I82="","-",(IF(V82&gt;0,(IF(I82=[3]Datos!$B$212,[3]Datos!$B$212,IF(AND(I82=[3]Datos!$B$213,V82&gt;0.49),[3]Datos!$B$212,IF(AND(I82=[3]Datos!$B$214,V82&gt;0.74),[3]Datos!$B$212,IF(AND(I82=[3]Datos!$B$214,V82&lt;0.75,V82&gt;0.49),[3]Datos!$B$213,IF(AND(I82=[3]Datos!$B$215,V82&gt;0.74),[3]Datos!$B$213,IF(AND(I82=[3]Datos!$B$215,V82&lt;0.75,V82&gt;0.49),[3]Datos!$B$214,IF(AND(I82=[3]Datos!$B$216,V82&gt;0.74),[3]Datos!$B$214,IF(AND(I82=[3]Datos!$B$216,V82&lt;0.75,V82&gt;0.49),[3]Datos!$B$215,I82))))))))),I82)))</f>
        <v>Improbable - 2</v>
      </c>
      <c r="X82" s="130">
        <f>IF(ISERROR(((IF(M82=[3]Datos!$B$225,U82,0))+(IF(M83=[3]Datos!$B$225,U83,0))+(IF(M84=[3]Datos!$B$225,U84,0))+(IF(M85=[3]Datos!$B$225,U85,0))+(IF(M86=[3]Datos!$B$225,U86,0))+(IF(M87=[3]Datos!$B$225,U87,0))+(IF(M82=[3]Datos!$B$226,U82,0))+(IF(M83=[3]Datos!$B$226,U83,0))+(IF(M84=[3]Datos!$B$226,U84,0))+(IF(M85=[3]Datos!$B$226,U85,0))+(IF(M86=[3]Datos!$B$226,U86,0))+(IF(M87=[3]Datos!$B$226,U87,0)))/((IF(M82=[3]Datos!$B$225,1,0))+(IF(M83=[3]Datos!$B$225,1,0))+(IF(M84=[3]Datos!$B$225,1,0))+(IF(M85=[3]Datos!$B$225,1,0))+(IF(M86=[3]Datos!$B$225,1,0))+(IF(M87=[3]Datos!$B$225,1,0))+(IF(M82=[3]Datos!$B$226,1,0))+(IF(M83=[3]Datos!$B$226,1,0))+(IF(M84=[3]Datos!$B$226,1,0))+(IF(M85=[3]Datos!$B$226,1,0))+(IF(M86=[3]Datos!$B$226,1,0))+(IF(M87=[3]Datos!$B$226,1,0)))),0,((IF(M82=[3]Datos!$B$225,U82,0))+(IF(M83=[3]Datos!$B$225,U83,0))+(IF(M84=[3]Datos!$B$225,U84,0))+(IF(M85=[3]Datos!$B$225,U85,0))+(IF(M86=[3]Datos!$B$225,U86,0))+(IF(M87=[3]Datos!$B$225,U87,0))+(IF(M82=[3]Datos!$B$226,U82,0))+(IF(M83=[3]Datos!$B$226,U83,0))+(IF(M84=[3]Datos!$B$226,U84,0))+(IF(M85=[3]Datos!$B$226,U85,0))+(IF(M86=[3]Datos!$B$226,U86,0))+(IF(M87=[3]Datos!$B$226,U87,0)))/((IF(M82=[3]Datos!$B$225,1,0))+(IF(M83=[3]Datos!$B$225,1,0))+(IF(M84=[3]Datos!$B$225,1,0))+(IF(M85=[3]Datos!$B$225,1,0))+(IF(M86=[3]Datos!$B$225,1,0))+(IF(M87=[3]Datos!$B$225,1,0))+(IF(M82=[3]Datos!$B$226,1,0))+(IF(M83=[3]Datos!$B$226,1,0))+(IF(M84=[3]Datos!$B$226,1,0))+(IF(M85=[3]Datos!$B$226,1,0))+(IF(M86=[3]Datos!$B$226,1,0))+(IF(M87=[3]Datos!$B$226,1,0))))</f>
        <v>0.89999999999999991</v>
      </c>
      <c r="Y82" s="127" t="str">
        <f>IF(J82="","-",(IF(X82&gt;0,(IF(J82=[3]Datos!$B$219,[3]Datos!$B$219,IF(AND(J82=[3]Datos!$B$220,X82&gt;0.49),[3]Datos!$B$219,IF(AND(J82=[3]Datos!$B$221,X82&gt;0.74),[3]Datos!$B$219,IF(AND(J82=[3]Datos!$B$221,X82&lt;0.75,X82&gt;0.49),[3]Datos!$B$220,IF(AND(J82=[3]Datos!$B$222,X82&gt;0.74),[3]Datos!$B$220,IF(AND(J82=[3]Datos!$B$222,X82&lt;0.75,X82&gt;0.49),[3]Datos!$B$221,IF(AND(J82=[3]Datos!$B$223,X82&gt;0.74),[3]Datos!$B$221,IF(AND(J82=[3]Datos!$B$223,X82&lt;0.75,X82&gt;0.49),[3]Datos!$B$222,J82))))))))),J82)))</f>
        <v>Moderado - 5</v>
      </c>
      <c r="Z82" s="133" t="str">
        <f>IF(AND(W82=[3]Datos!$B$212,Y82=[3]Datos!$B$219),[3]Datos!$D$216,IF(AND(W82=[3]Datos!$B$212,Y82=[3]Datos!$B$220),[3]Datos!$E$216,IF(AND(W82=[3]Datos!$B$212,Y82=[3]Datos!$B$221),[3]Datos!$F$216,IF(AND(W82=[3]Datos!$B$213,Y82=[3]Datos!$B$219),[3]Datos!$D$215,IF(AND(W82=[3]Datos!$B$213,Y82=[3]Datos!$B$220),[3]Datos!$E$215,IF(AND(W82=[3]Datos!$B$213,Y82=[3]Datos!$B$221),[3]Datos!$F$215,IF(AND(W82=[3]Datos!$B$214,Y82=[3]Datos!$B$219),[3]Datos!$D$214,IF(AND(W82=[3]Datos!$B$214,Y82=[3]Datos!$B$220),[3]Datos!$E$214,IF(AND(W82=[3]Datos!$B$214,Y82=[3]Datos!$B$221),[3]Datos!$F$214,IF(AND(W82=[3]Datos!$B$215,Y82=[3]Datos!$B$219),[3]Datos!$D$213,IF(AND(W82=[3]Datos!$B$215,Y82=[3]Datos!$B$220),[3]Datos!$E$213,IF(AND(W82=[3]Datos!$B$215,Y82=[3]Datos!$B$221),[3]Datos!$F$213,IF(AND(W82=[3]Datos!$B$216,Y82=[3]Datos!$B$219),[3]Datos!$D$212,IF(AND(W82=[3]Datos!$B$216,Y82=[3]Datos!$B$220),[3]Datos!$E$212,IF(AND(W82=[3]Datos!$B$216,Y82=[3]Datos!$B$221),[3]Datos!$F$212,"-")))))))))))))))</f>
        <v>BAJA 10</v>
      </c>
      <c r="AA82" s="11"/>
      <c r="AB82" s="11"/>
      <c r="AC82" s="11"/>
      <c r="AD82" s="11"/>
      <c r="AE82" s="11"/>
      <c r="AF82" s="11"/>
      <c r="AG82" s="16"/>
    </row>
    <row r="83" spans="1:33" ht="40.5" customHeight="1" x14ac:dyDescent="0.25">
      <c r="A83" s="140"/>
      <c r="B83" s="141"/>
      <c r="C83" s="145"/>
      <c r="D83" s="170" t="s">
        <v>459</v>
      </c>
      <c r="E83" s="170"/>
      <c r="F83" s="136"/>
      <c r="G83" s="170"/>
      <c r="H83" s="96" t="s">
        <v>403</v>
      </c>
      <c r="I83" s="149"/>
      <c r="J83" s="149"/>
      <c r="K83" s="134"/>
      <c r="L83" s="22" t="s">
        <v>139</v>
      </c>
      <c r="M83" s="38" t="s">
        <v>47</v>
      </c>
      <c r="N83" s="20" t="s">
        <v>48</v>
      </c>
      <c r="O83" s="20" t="s">
        <v>49</v>
      </c>
      <c r="P83" s="20" t="s">
        <v>48</v>
      </c>
      <c r="Q83" s="20" t="s">
        <v>51</v>
      </c>
      <c r="R83" s="20" t="s">
        <v>48</v>
      </c>
      <c r="S83" s="20" t="s">
        <v>51</v>
      </c>
      <c r="T83" s="20" t="s">
        <v>52</v>
      </c>
      <c r="U83" s="41">
        <f>((IF(N83=[3]Datos!$B$233,15,0))/100)+((IF(O83=[3]Datos!$B$229,5,0))/100)+((IF(P83=[3]Datos!$B$233,15,0))/100)+((IF(Q83=[3]Datos!$B$231,10,0))/100)+((IF(R83=[3]Datos!$B$233,15,0))/100)+((IF(S83=[3]Datos!$B$231,10,0))/100)+((IF(T83=[3]Datos!$B$235,30,0))/100)</f>
        <v>1</v>
      </c>
      <c r="V83" s="131"/>
      <c r="W83" s="128"/>
      <c r="X83" s="131"/>
      <c r="Y83" s="128"/>
      <c r="Z83" s="134"/>
      <c r="AA83" s="18"/>
      <c r="AB83" s="18"/>
      <c r="AC83" s="18"/>
      <c r="AD83" s="18"/>
      <c r="AE83" s="18"/>
      <c r="AF83" s="18"/>
      <c r="AG83" s="23"/>
    </row>
    <row r="84" spans="1:33" ht="30.75" customHeight="1" x14ac:dyDescent="0.25">
      <c r="A84" s="140"/>
      <c r="B84" s="141"/>
      <c r="C84" s="145"/>
      <c r="D84" s="136" t="s">
        <v>460</v>
      </c>
      <c r="E84" s="136"/>
      <c r="F84" s="136"/>
      <c r="G84" s="170"/>
      <c r="H84" s="96" t="s">
        <v>140</v>
      </c>
      <c r="I84" s="149"/>
      <c r="J84" s="149"/>
      <c r="K84" s="134"/>
      <c r="L84" s="22" t="s">
        <v>419</v>
      </c>
      <c r="M84" s="38" t="s">
        <v>81</v>
      </c>
      <c r="N84" s="20" t="s">
        <v>48</v>
      </c>
      <c r="O84" s="20" t="s">
        <v>49</v>
      </c>
      <c r="P84" s="20" t="s">
        <v>48</v>
      </c>
      <c r="Q84" s="20" t="s">
        <v>50</v>
      </c>
      <c r="R84" s="20" t="s">
        <v>48</v>
      </c>
      <c r="S84" s="20" t="s">
        <v>51</v>
      </c>
      <c r="T84" s="20" t="s">
        <v>52</v>
      </c>
      <c r="U84" s="41">
        <f>((IF(N84=[3]Datos!$B$233,15,0))/100)+((IF(O84=[3]Datos!$B$229,5,0))/100)+((IF(P84=[3]Datos!$B$233,15,0))/100)+((IF(Q84=[3]Datos!$B$231,10,0))/100)+((IF(R84=[3]Datos!$B$233,15,0))/100)+((IF(S84=[3]Datos!$B$231,10,0))/100)+((IF(T84=[3]Datos!$B$235,30,0))/100)</f>
        <v>0.89999999999999991</v>
      </c>
      <c r="V84" s="131"/>
      <c r="W84" s="128"/>
      <c r="X84" s="131"/>
      <c r="Y84" s="128"/>
      <c r="Z84" s="134"/>
      <c r="AA84" s="18"/>
      <c r="AB84" s="18"/>
      <c r="AC84" s="18"/>
      <c r="AD84" s="18"/>
      <c r="AE84" s="18"/>
      <c r="AF84" s="18"/>
      <c r="AG84" s="23"/>
    </row>
    <row r="85" spans="1:33" ht="21" customHeight="1" x14ac:dyDescent="0.25">
      <c r="A85" s="140"/>
      <c r="B85" s="141"/>
      <c r="C85" s="145"/>
      <c r="D85" s="199" t="s">
        <v>461</v>
      </c>
      <c r="E85" s="199"/>
      <c r="F85" s="136"/>
      <c r="G85" s="170"/>
      <c r="H85" s="96" t="s">
        <v>404</v>
      </c>
      <c r="I85" s="149"/>
      <c r="J85" s="149"/>
      <c r="K85" s="134"/>
      <c r="L85" s="22"/>
      <c r="M85" s="38"/>
      <c r="N85" s="20"/>
      <c r="O85" s="20"/>
      <c r="P85" s="20"/>
      <c r="Q85" s="20"/>
      <c r="R85" s="20"/>
      <c r="S85" s="20"/>
      <c r="T85" s="20"/>
      <c r="U85" s="41">
        <f>((IF(N85=[3]Datos!$B$233,15,0))/100)+((IF(O85=[3]Datos!$B$229,5,0))/100)+((IF(P85=[3]Datos!$B$233,15,0))/100)+((IF(Q85=[3]Datos!$B$231,10,0))/100)+((IF(R85=[3]Datos!$B$233,15,0))/100)+((IF(S85=[3]Datos!$B$231,10,0))/100)+((IF(T85=[3]Datos!$B$235,30,0))/100)</f>
        <v>0</v>
      </c>
      <c r="V85" s="131"/>
      <c r="W85" s="128"/>
      <c r="X85" s="131"/>
      <c r="Y85" s="128"/>
      <c r="Z85" s="134"/>
      <c r="AA85" s="18"/>
      <c r="AB85" s="18"/>
      <c r="AC85" s="18"/>
      <c r="AD85" s="18"/>
      <c r="AE85" s="18"/>
      <c r="AF85" s="18"/>
      <c r="AG85" s="23"/>
    </row>
    <row r="86" spans="1:33" ht="22.5" customHeight="1" x14ac:dyDescent="0.25">
      <c r="A86" s="140"/>
      <c r="B86" s="141"/>
      <c r="C86" s="145"/>
      <c r="D86" s="136" t="s">
        <v>462</v>
      </c>
      <c r="E86" s="136"/>
      <c r="F86" s="136"/>
      <c r="G86" s="170"/>
      <c r="H86" s="96"/>
      <c r="I86" s="149"/>
      <c r="J86" s="149"/>
      <c r="K86" s="134"/>
      <c r="L86" s="22"/>
      <c r="M86" s="38"/>
      <c r="N86" s="20"/>
      <c r="O86" s="20"/>
      <c r="P86" s="20"/>
      <c r="Q86" s="20"/>
      <c r="R86" s="20"/>
      <c r="S86" s="20"/>
      <c r="T86" s="20"/>
      <c r="U86" s="41">
        <f>((IF(N86=[3]Datos!$B$233,15,0))/100)+((IF(O86=[3]Datos!$B$229,5,0))/100)+((IF(P86=[3]Datos!$B$233,15,0))/100)+((IF(Q86=[3]Datos!$B$231,10,0))/100)+((IF(R86=[3]Datos!$B$233,15,0))/100)+((IF(S86=[3]Datos!$B$231,10,0))/100)+((IF(T86=[3]Datos!$B$235,30,0))/100)</f>
        <v>0</v>
      </c>
      <c r="V86" s="131"/>
      <c r="W86" s="128"/>
      <c r="X86" s="131"/>
      <c r="Y86" s="128"/>
      <c r="Z86" s="134"/>
      <c r="AA86" s="18"/>
      <c r="AB86" s="18"/>
      <c r="AC86" s="18"/>
      <c r="AD86" s="18"/>
      <c r="AE86" s="18"/>
      <c r="AF86" s="18"/>
      <c r="AG86" s="23"/>
    </row>
    <row r="87" spans="1:33" ht="23.25" customHeight="1" thickBot="1" x14ac:dyDescent="0.3">
      <c r="A87" s="176"/>
      <c r="B87" s="177"/>
      <c r="C87" s="178"/>
      <c r="D87" s="175" t="s">
        <v>463</v>
      </c>
      <c r="E87" s="175"/>
      <c r="F87" s="175"/>
      <c r="G87" s="179"/>
      <c r="H87" s="113"/>
      <c r="I87" s="180"/>
      <c r="J87" s="180"/>
      <c r="K87" s="174"/>
      <c r="L87" s="34"/>
      <c r="M87" s="53"/>
      <c r="N87" s="52"/>
      <c r="O87" s="52"/>
      <c r="P87" s="52"/>
      <c r="Q87" s="52"/>
      <c r="R87" s="52"/>
      <c r="S87" s="52"/>
      <c r="T87" s="52"/>
      <c r="U87" s="117">
        <f>((IF(N87=[3]Datos!$B$233,15,0))/100)+((IF(O87=[3]Datos!$B$229,5,0))/100)+((IF(P87=[3]Datos!$B$233,15,0))/100)+((IF(Q87=[3]Datos!$B$231,10,0))/100)+((IF(R87=[3]Datos!$B$233,15,0))/100)+((IF(S87=[3]Datos!$B$231,10,0))/100)+((IF(T87=[3]Datos!$B$235,30,0))/100)</f>
        <v>0</v>
      </c>
      <c r="V87" s="173"/>
      <c r="W87" s="172"/>
      <c r="X87" s="173"/>
      <c r="Y87" s="172"/>
      <c r="Z87" s="174"/>
      <c r="AA87" s="119"/>
      <c r="AB87" s="119"/>
      <c r="AC87" s="119"/>
      <c r="AD87" s="119"/>
      <c r="AE87" s="119"/>
      <c r="AF87" s="119"/>
      <c r="AG87" s="120"/>
    </row>
    <row r="88" spans="1:33" ht="51" customHeight="1" x14ac:dyDescent="0.25">
      <c r="A88" s="138" t="s">
        <v>133</v>
      </c>
      <c r="B88" s="139"/>
      <c r="C88" s="144" t="s">
        <v>438</v>
      </c>
      <c r="D88" s="169" t="s">
        <v>464</v>
      </c>
      <c r="E88" s="169"/>
      <c r="F88" s="147" t="s">
        <v>141</v>
      </c>
      <c r="G88" s="147" t="s">
        <v>142</v>
      </c>
      <c r="H88" s="95" t="s">
        <v>401</v>
      </c>
      <c r="I88" s="148" t="s">
        <v>84</v>
      </c>
      <c r="J88" s="148" t="s">
        <v>97</v>
      </c>
      <c r="K88" s="133" t="str">
        <f>IF(AND(I88=[3]Datos!$B$212,J88=[3]Datos!$B$219),[3]Datos!$D$216,IF(AND(I88=[3]Datos!$B$212,J88=[3]Datos!$B$220),[3]Datos!$E$216,IF(AND(I88=[3]Datos!$B$212,J88=[3]Datos!$B$221),[3]Datos!$F$216,IF(AND(I88=[3]Datos!$B$213,J88=[3]Datos!$B$219),[3]Datos!$D$215,IF(AND(I88=[3]Datos!$B$213,J88=[3]Datos!$B$220),[3]Datos!$E$215,IF(AND(I88=[3]Datos!$B$213,J88=[3]Datos!$B$221),[3]Datos!$F$215,IF(AND(I88=[3]Datos!$B$214,J88=[3]Datos!$B$219),[3]Datos!$D$214,IF(AND(I88=[3]Datos!$B$214,J88=[3]Datos!$B$220),[3]Datos!$E$214,IF(AND(I88=[3]Datos!$B$214,J88=[3]Datos!$B$221),[3]Datos!$F$214,IF(AND(I88=[3]Datos!$B$215,J88=[3]Datos!$B$219),[3]Datos!$D$213,IF(AND(I88=[3]Datos!$B$215,J88=[3]Datos!$B$220),[3]Datos!$E$213,IF(AND(I88=[3]Datos!$B$215,J88=[3]Datos!$B$221),[3]Datos!$F$213,IF(AND(I88=[3]Datos!$B$216,J88=[3]Datos!$B$219),[3]Datos!$D$212,IF(AND(I88=[3]Datos!$B$216,J88=[3]Datos!$B$220),[3]Datos!$E$212,IF(AND(I88=[3]Datos!$B$216,J88=[3]Datos!$B$221),[3]Datos!$F$212,"-")))))))))))))))</f>
        <v>MODERADA 20</v>
      </c>
      <c r="L88" s="15" t="s">
        <v>143</v>
      </c>
      <c r="M88" s="82" t="s">
        <v>60</v>
      </c>
      <c r="N88" s="88" t="s">
        <v>48</v>
      </c>
      <c r="O88" s="88" t="s">
        <v>49</v>
      </c>
      <c r="P88" s="88" t="s">
        <v>50</v>
      </c>
      <c r="Q88" s="88" t="s">
        <v>51</v>
      </c>
      <c r="R88" s="88" t="s">
        <v>48</v>
      </c>
      <c r="S88" s="88" t="s">
        <v>51</v>
      </c>
      <c r="T88" s="88" t="s">
        <v>52</v>
      </c>
      <c r="U88" s="85">
        <f>((IF(N88=[3]Datos!$B$233,15,0))/100)+((IF(O88=[3]Datos!$B$229,5,0))/100)+((IF(P88=[3]Datos!$B$233,15,0))/100)+((IF(Q88=[3]Datos!$B$231,10,0))/100)+((IF(R88=[3]Datos!$B$233,15,0))/100)+((IF(S88=[3]Datos!$B$231,10,0))/100)+((IF(T88=[3]Datos!$B$235,30,0))/100)</f>
        <v>0.85000000000000009</v>
      </c>
      <c r="V88" s="130">
        <f>IF(ISERROR(((IF(M88=[3]Datos!$B$224,U88,0))+(IF(M89=[3]Datos!$B$224,U89,0))+(IF(M90=[3]Datos!$B$224,U90,0))+(IF(M91=[3]Datos!$B$224,U91,0))+(IF(M92=[3]Datos!$B$224,U92,0))+(IF(M93=[3]Datos!$B$224,U93,0)))/((IF(M88=[3]Datos!$B$224,1,0))+(IF(M89=[3]Datos!$B$224,1,0))+(IF(M90=[3]Datos!$B$224,1,0))+(IF(M91=[3]Datos!$B$224,1,0))+(IF(M92=[3]Datos!$B$224,1,0))+(IF(M93=[3]Datos!$B$224,1,0)))),0,(((IF(M88=[3]Datos!$B$224,U88,0))+(IF(M89=[3]Datos!$B$224,U89,0))+(IF(M90=[3]Datos!$B$224,U90,0))+(IF(M91=[3]Datos!$B$224,U91,0))+(IF(M92=[3]Datos!$B$224,U92,0))+(IF(M93=[3]Datos!$B$224,U93,0)))/((IF(M88=[3]Datos!$B$224,1,0))+(IF(M89=[3]Datos!$B$224,1,0))+(IF(M90=[3]Datos!$B$224,1,0))+(IF(M91=[3]Datos!$B$224,1,0))+(IF(M92=[3]Datos!$B$224,1,0))+(IF(M93=[3]Datos!$B$224,1,0)))))</f>
        <v>0.89999999999999991</v>
      </c>
      <c r="W88" s="127" t="str">
        <f>IF(I88="","-",(IF(V88&gt;0,(IF(I88=[3]Datos!$B$212,[3]Datos!$B$212,IF(AND(I88=[3]Datos!$B$213,V88&gt;0.49),[3]Datos!$B$212,IF(AND(I88=[3]Datos!$B$214,V88&gt;0.74),[3]Datos!$B$212,IF(AND(I88=[3]Datos!$B$214,V88&lt;0.75,V88&gt;0.49),[3]Datos!$B$213,IF(AND(I88=[3]Datos!$B$215,V88&gt;0.74),[3]Datos!$B$213,IF(AND(I88=[3]Datos!$B$215,V88&lt;0.75,V88&gt;0.49),[3]Datos!$B$214,IF(AND(I88=[3]Datos!$B$216,V88&gt;0.74),[3]Datos!$B$214,IF(AND(I88=[3]Datos!$B$216,V88&lt;0.75,V88&gt;0.49),[3]Datos!$B$215,I88))))))))),I88)))</f>
        <v>Improbable - 2</v>
      </c>
      <c r="X88" s="130">
        <f>IF(ISERROR(((IF(M88=[3]Datos!$B$225,U88,0))+(IF(M89=[3]Datos!$B$225,U89,0))+(IF(M90=[3]Datos!$B$225,U90,0))+(IF(M91=[3]Datos!$B$225,U91,0))+(IF(M92=[3]Datos!$B$225,U92,0))+(IF(M93=[3]Datos!$B$225,U93,0))+(IF(M88=[3]Datos!$B$226,U88,0))+(IF(M89=[3]Datos!$B$226,U89,0))+(IF(M90=[3]Datos!$B$226,U90,0))+(IF(M91=[3]Datos!$B$226,U91,0))+(IF(M92=[3]Datos!$B$226,U92,0))+(IF(M93=[3]Datos!$B$226,U93,0)))/((IF(M88=[3]Datos!$B$225,1,0))+(IF(M89=[3]Datos!$B$225,1,0))+(IF(M90=[3]Datos!$B$225,1,0))+(IF(M91=[3]Datos!$B$225,1,0))+(IF(M92=[3]Datos!$B$225,1,0))+(IF(M93=[3]Datos!$B$225,1,0))+(IF(M88=[3]Datos!$B$226,1,0))+(IF(M89=[3]Datos!$B$226,1,0))+(IF(M90=[3]Datos!$B$226,1,0))+(IF(M91=[3]Datos!$B$226,1,0))+(IF(M92=[3]Datos!$B$226,1,0))+(IF(M93=[3]Datos!$B$226,1,0)))),0,((IF(M88=[3]Datos!$B$225,U88,0))+(IF(M89=[3]Datos!$B$225,U89,0))+(IF(M90=[3]Datos!$B$225,U90,0))+(IF(M91=[3]Datos!$B$225,U91,0))+(IF(M92=[3]Datos!$B$225,U92,0))+(IF(M93=[3]Datos!$B$225,U93,0))+(IF(M88=[3]Datos!$B$226,U88,0))+(IF(M89=[3]Datos!$B$226,U89,0))+(IF(M90=[3]Datos!$B$226,U90,0))+(IF(M91=[3]Datos!$B$226,U91,0))+(IF(M92=[3]Datos!$B$226,U92,0))+(IF(M93=[3]Datos!$B$226,U93,0)))/((IF(M88=[3]Datos!$B$225,1,0))+(IF(M89=[3]Datos!$B$225,1,0))+(IF(M90=[3]Datos!$B$225,1,0))+(IF(M91=[3]Datos!$B$225,1,0))+(IF(M92=[3]Datos!$B$225,1,0))+(IF(M93=[3]Datos!$B$225,1,0))+(IF(M88=[3]Datos!$B$226,1,0))+(IF(M89=[3]Datos!$B$226,1,0))+(IF(M90=[3]Datos!$B$226,1,0))+(IF(M91=[3]Datos!$B$226,1,0))+(IF(M92=[3]Datos!$B$226,1,0))+(IF(M93=[3]Datos!$B$226,1,0))))</f>
        <v>0.85000000000000009</v>
      </c>
      <c r="Y88" s="127" t="str">
        <f>IF(J88="","-",(IF(X88&gt;0,(IF(J88=[3]Datos!$B$219,[3]Datos!$B$219,IF(AND(J88=[3]Datos!$B$220,X88&gt;0.49),[3]Datos!$B$219,IF(AND(J88=[3]Datos!$B$221,X88&gt;0.74),[3]Datos!$B$219,IF(AND(J88=[3]Datos!$B$221,X88&lt;0.75,X88&gt;0.49),[3]Datos!$B$220,IF(AND(J88=[3]Datos!$B$222,X88&gt;0.74),[3]Datos!$B$220,IF(AND(J88=[3]Datos!$B$222,X88&lt;0.75,X88&gt;0.49),[3]Datos!$B$221,IF(AND(J88=[3]Datos!$B$223,X88&gt;0.74),[3]Datos!$B$221,IF(AND(J88=[3]Datos!$B$223,X88&lt;0.75,X88&gt;0.49),[3]Datos!$B$222,J88))))))))),J88)))</f>
        <v>Moderado - 5</v>
      </c>
      <c r="Z88" s="133" t="str">
        <f>IF(AND(W88=[3]Datos!$B$212,Y88=[3]Datos!$B$219),[3]Datos!$D$216,IF(AND(W88=[3]Datos!$B$212,Y88=[3]Datos!$B$220),[3]Datos!$E$216,IF(AND(W88=[3]Datos!$B$212,Y88=[3]Datos!$B$221),[3]Datos!$F$216,IF(AND(W88=[3]Datos!$B$213,Y88=[3]Datos!$B$219),[3]Datos!$D$215,IF(AND(W88=[3]Datos!$B$213,Y88=[3]Datos!$B$220),[3]Datos!$E$215,IF(AND(W88=[3]Datos!$B$213,Y88=[3]Datos!$B$221),[3]Datos!$F$215,IF(AND(W88=[3]Datos!$B$214,Y88=[3]Datos!$B$219),[3]Datos!$D$214,IF(AND(W88=[3]Datos!$B$214,Y88=[3]Datos!$B$220),[3]Datos!$E$214,IF(AND(W88=[3]Datos!$B$214,Y88=[3]Datos!$B$221),[3]Datos!$F$214,IF(AND(W88=[3]Datos!$B$215,Y88=[3]Datos!$B$219),[3]Datos!$D$213,IF(AND(W88=[3]Datos!$B$215,Y88=[3]Datos!$B$220),[3]Datos!$E$213,IF(AND(W88=[3]Datos!$B$215,Y88=[3]Datos!$B$221),[3]Datos!$F$213,IF(AND(W88=[3]Datos!$B$216,Y88=[3]Datos!$B$219),[3]Datos!$D$212,IF(AND(W88=[3]Datos!$B$216,Y88=[3]Datos!$B$220),[3]Datos!$E$212,IF(AND(W88=[3]Datos!$B$216,Y88=[3]Datos!$B$221),[3]Datos!$F$212,"-")))))))))))))))</f>
        <v>BAJA 10</v>
      </c>
      <c r="AA88" s="11"/>
      <c r="AB88" s="11"/>
      <c r="AC88" s="11"/>
      <c r="AD88" s="11"/>
      <c r="AE88" s="11"/>
      <c r="AF88" s="11"/>
      <c r="AG88" s="16"/>
    </row>
    <row r="89" spans="1:33" ht="34.5" customHeight="1" x14ac:dyDescent="0.25">
      <c r="A89" s="140"/>
      <c r="B89" s="141"/>
      <c r="C89" s="145"/>
      <c r="D89" s="136" t="s">
        <v>465</v>
      </c>
      <c r="E89" s="136"/>
      <c r="F89" s="136"/>
      <c r="G89" s="136"/>
      <c r="H89" s="96" t="s">
        <v>399</v>
      </c>
      <c r="I89" s="149"/>
      <c r="J89" s="149"/>
      <c r="K89" s="134"/>
      <c r="L89" s="22" t="s">
        <v>144</v>
      </c>
      <c r="M89" s="83" t="s">
        <v>47</v>
      </c>
      <c r="N89" s="89" t="s">
        <v>48</v>
      </c>
      <c r="O89" s="89" t="s">
        <v>49</v>
      </c>
      <c r="P89" s="89" t="s">
        <v>48</v>
      </c>
      <c r="Q89" s="89" t="s">
        <v>50</v>
      </c>
      <c r="R89" s="89" t="s">
        <v>48</v>
      </c>
      <c r="S89" s="89" t="s">
        <v>51</v>
      </c>
      <c r="T89" s="89" t="s">
        <v>52</v>
      </c>
      <c r="U89" s="86">
        <f>((IF(N89=[3]Datos!$B$233,15,0))/100)+((IF(O89=[3]Datos!$B$229,5,0))/100)+((IF(P89=[3]Datos!$B$233,15,0))/100)+((IF(Q89=[3]Datos!$B$231,10,0))/100)+((IF(R89=[3]Datos!$B$233,15,0))/100)+((IF(S89=[3]Datos!$B$231,10,0))/100)+((IF(T89=[3]Datos!$B$235,30,0))/100)</f>
        <v>0.89999999999999991</v>
      </c>
      <c r="V89" s="131"/>
      <c r="W89" s="128"/>
      <c r="X89" s="131"/>
      <c r="Y89" s="128"/>
      <c r="Z89" s="134"/>
      <c r="AA89" s="18"/>
      <c r="AB89" s="18"/>
      <c r="AC89" s="18"/>
      <c r="AD89" s="18"/>
      <c r="AE89" s="18"/>
      <c r="AF89" s="18"/>
      <c r="AG89" s="23"/>
    </row>
    <row r="90" spans="1:33" ht="30" x14ac:dyDescent="0.25">
      <c r="A90" s="140"/>
      <c r="B90" s="141"/>
      <c r="C90" s="145"/>
      <c r="D90" s="136"/>
      <c r="E90" s="136"/>
      <c r="F90" s="136"/>
      <c r="G90" s="136"/>
      <c r="H90" s="96" t="s">
        <v>400</v>
      </c>
      <c r="I90" s="149"/>
      <c r="J90" s="149"/>
      <c r="K90" s="134"/>
      <c r="L90" s="22" t="s">
        <v>145</v>
      </c>
      <c r="M90" s="83" t="s">
        <v>81</v>
      </c>
      <c r="N90" s="89" t="s">
        <v>48</v>
      </c>
      <c r="O90" s="89" t="s">
        <v>49</v>
      </c>
      <c r="P90" s="89" t="s">
        <v>50</v>
      </c>
      <c r="Q90" s="89" t="s">
        <v>51</v>
      </c>
      <c r="R90" s="89" t="s">
        <v>48</v>
      </c>
      <c r="S90" s="89" t="s">
        <v>51</v>
      </c>
      <c r="T90" s="89" t="s">
        <v>52</v>
      </c>
      <c r="U90" s="86">
        <f>((IF(N90=[3]Datos!$B$233,15,0))/100)+((IF(O90=[3]Datos!$B$229,5,0))/100)+((IF(P90=[3]Datos!$B$233,15,0))/100)+((IF(Q90=[3]Datos!$B$231,10,0))/100)+((IF(R90=[3]Datos!$B$233,15,0))/100)+((IF(S90=[3]Datos!$B$231,10,0))/100)+((IF(T90=[3]Datos!$B$235,30,0))/100)</f>
        <v>0.85000000000000009</v>
      </c>
      <c r="V90" s="131"/>
      <c r="W90" s="128"/>
      <c r="X90" s="131"/>
      <c r="Y90" s="128"/>
      <c r="Z90" s="134"/>
      <c r="AA90" s="18"/>
      <c r="AB90" s="18"/>
      <c r="AC90" s="18"/>
      <c r="AD90" s="18"/>
      <c r="AE90" s="18"/>
      <c r="AF90" s="18"/>
      <c r="AG90" s="23"/>
    </row>
    <row r="91" spans="1:33" x14ac:dyDescent="0.25">
      <c r="A91" s="140"/>
      <c r="B91" s="141"/>
      <c r="C91" s="145"/>
      <c r="D91" s="136"/>
      <c r="E91" s="136"/>
      <c r="F91" s="136"/>
      <c r="G91" s="136"/>
      <c r="H91" s="121"/>
      <c r="I91" s="149"/>
      <c r="J91" s="149"/>
      <c r="K91" s="134"/>
      <c r="L91" s="22"/>
      <c r="M91" s="83"/>
      <c r="N91" s="89"/>
      <c r="O91" s="89"/>
      <c r="P91" s="89"/>
      <c r="Q91" s="89"/>
      <c r="R91" s="89"/>
      <c r="S91" s="89"/>
      <c r="T91" s="89"/>
      <c r="U91" s="86">
        <f>((IF(N91=[3]Datos!$B$233,15,0))/100)+((IF(O91=[3]Datos!$B$229,5,0))/100)+((IF(P91=[3]Datos!$B$233,15,0))/100)+((IF(Q91=[3]Datos!$B$231,10,0))/100)+((IF(R91=[3]Datos!$B$233,15,0))/100)+((IF(S91=[3]Datos!$B$231,10,0))/100)+((IF(T91=[3]Datos!$B$235,30,0))/100)</f>
        <v>0</v>
      </c>
      <c r="V91" s="131"/>
      <c r="W91" s="128"/>
      <c r="X91" s="131"/>
      <c r="Y91" s="128"/>
      <c r="Z91" s="134"/>
      <c r="AA91" s="18"/>
      <c r="AB91" s="18"/>
      <c r="AC91" s="18"/>
      <c r="AD91" s="18"/>
      <c r="AE91" s="18"/>
      <c r="AF91" s="18"/>
      <c r="AG91" s="23"/>
    </row>
    <row r="92" spans="1:33" x14ac:dyDescent="0.25">
      <c r="A92" s="140"/>
      <c r="B92" s="141"/>
      <c r="C92" s="145"/>
      <c r="D92" s="136"/>
      <c r="E92" s="136"/>
      <c r="F92" s="136"/>
      <c r="G92" s="136"/>
      <c r="H92" s="96"/>
      <c r="I92" s="149"/>
      <c r="J92" s="149"/>
      <c r="K92" s="134"/>
      <c r="L92" s="22"/>
      <c r="M92" s="83"/>
      <c r="N92" s="89"/>
      <c r="O92" s="89"/>
      <c r="P92" s="89"/>
      <c r="Q92" s="89"/>
      <c r="R92" s="89"/>
      <c r="S92" s="89"/>
      <c r="T92" s="89"/>
      <c r="U92" s="86">
        <f>((IF(N92=[3]Datos!$B$233,15,0))/100)+((IF(O92=[3]Datos!$B$229,5,0))/100)+((IF(P92=[3]Datos!$B$233,15,0))/100)+((IF(Q92=[3]Datos!$B$231,10,0))/100)+((IF(R92=[3]Datos!$B$233,15,0))/100)+((IF(S92=[3]Datos!$B$231,10,0))/100)+((IF(T92=[3]Datos!$B$235,30,0))/100)</f>
        <v>0</v>
      </c>
      <c r="V92" s="131"/>
      <c r="W92" s="128"/>
      <c r="X92" s="131"/>
      <c r="Y92" s="128"/>
      <c r="Z92" s="134"/>
      <c r="AA92" s="18"/>
      <c r="AB92" s="18"/>
      <c r="AC92" s="18"/>
      <c r="AD92" s="18"/>
      <c r="AE92" s="18"/>
      <c r="AF92" s="18"/>
      <c r="AG92" s="23"/>
    </row>
    <row r="93" spans="1:33" ht="15.75" thickBot="1" x14ac:dyDescent="0.3">
      <c r="A93" s="142"/>
      <c r="B93" s="143"/>
      <c r="C93" s="146"/>
      <c r="D93" s="137"/>
      <c r="E93" s="137"/>
      <c r="F93" s="137"/>
      <c r="G93" s="137"/>
      <c r="H93" s="97"/>
      <c r="I93" s="150"/>
      <c r="J93" s="150"/>
      <c r="K93" s="135"/>
      <c r="L93" s="49"/>
      <c r="M93" s="84"/>
      <c r="N93" s="90"/>
      <c r="O93" s="90"/>
      <c r="P93" s="90"/>
      <c r="Q93" s="90"/>
      <c r="R93" s="90"/>
      <c r="S93" s="90"/>
      <c r="T93" s="90"/>
      <c r="U93" s="87">
        <f>((IF(N93=[3]Datos!$B$233,15,0))/100)+((IF(O93=[3]Datos!$B$229,5,0))/100)+((IF(P93=[3]Datos!$B$233,15,0))/100)+((IF(Q93=[3]Datos!$B$231,10,0))/100)+((IF(R93=[3]Datos!$B$233,15,0))/100)+((IF(S93=[3]Datos!$B$231,10,0))/100)+((IF(T93=[3]Datos!$B$235,30,0))/100)</f>
        <v>0</v>
      </c>
      <c r="V93" s="132"/>
      <c r="W93" s="129"/>
      <c r="X93" s="132"/>
      <c r="Y93" s="129"/>
      <c r="Z93" s="135"/>
      <c r="AA93" s="26"/>
      <c r="AB93" s="26"/>
      <c r="AC93" s="26"/>
      <c r="AD93" s="26"/>
      <c r="AE93" s="26"/>
      <c r="AF93" s="26"/>
      <c r="AG93" s="30"/>
    </row>
    <row r="94" spans="1:33" ht="34.5" customHeight="1" x14ac:dyDescent="0.25">
      <c r="A94" s="138" t="s">
        <v>133</v>
      </c>
      <c r="B94" s="139"/>
      <c r="C94" s="144" t="s">
        <v>438</v>
      </c>
      <c r="D94" s="169" t="s">
        <v>466</v>
      </c>
      <c r="E94" s="169"/>
      <c r="F94" s="147" t="s">
        <v>146</v>
      </c>
      <c r="G94" s="147" t="s">
        <v>147</v>
      </c>
      <c r="H94" s="95" t="s">
        <v>399</v>
      </c>
      <c r="I94" s="148" t="s">
        <v>120</v>
      </c>
      <c r="J94" s="148" t="s">
        <v>46</v>
      </c>
      <c r="K94" s="133" t="str">
        <f>IF(AND(I94=[3]Datos!$B$212,J94=[3]Datos!$B$219),[3]Datos!$D$216,IF(AND(I94=[3]Datos!$B$212,J94=[3]Datos!$B$220),[3]Datos!$E$216,IF(AND(I94=[3]Datos!$B$212,J94=[3]Datos!$B$221),[3]Datos!$F$216,IF(AND(I94=[3]Datos!$B$213,J94=[3]Datos!$B$219),[3]Datos!$D$215,IF(AND(I94=[3]Datos!$B$213,J94=[3]Datos!$B$220),[3]Datos!$E$215,IF(AND(I94=[3]Datos!$B$213,J94=[3]Datos!$B$221),[3]Datos!$F$215,IF(AND(I94=[3]Datos!$B$214,J94=[3]Datos!$B$219),[3]Datos!$D$214,IF(AND(I94=[3]Datos!$B$214,J94=[3]Datos!$B$220),[3]Datos!$E$214,IF(AND(I94=[3]Datos!$B$214,J94=[3]Datos!$B$221),[3]Datos!$F$214,IF(AND(I94=[3]Datos!$B$215,J94=[3]Datos!$B$219),[3]Datos!$D$213,IF(AND(I94=[3]Datos!$B$215,J94=[3]Datos!$B$220),[3]Datos!$E$213,IF(AND(I94=[3]Datos!$B$215,J94=[3]Datos!$B$221),[3]Datos!$F$213,IF(AND(I94=[3]Datos!$B$216,J94=[3]Datos!$B$219),[3]Datos!$D$212,IF(AND(I94=[3]Datos!$B$216,J94=[3]Datos!$B$220),[3]Datos!$E$212,IF(AND(I94=[3]Datos!$B$216,J94=[3]Datos!$B$221),[3]Datos!$F$212,"-")))))))))))))))</f>
        <v>ALTA 40</v>
      </c>
      <c r="L94" s="15" t="s">
        <v>420</v>
      </c>
      <c r="M94" s="37" t="s">
        <v>60</v>
      </c>
      <c r="N94" s="13" t="s">
        <v>48</v>
      </c>
      <c r="O94" s="13" t="s">
        <v>49</v>
      </c>
      <c r="P94" s="13" t="s">
        <v>50</v>
      </c>
      <c r="Q94" s="13" t="s">
        <v>51</v>
      </c>
      <c r="R94" s="13" t="s">
        <v>48</v>
      </c>
      <c r="S94" s="13" t="s">
        <v>51</v>
      </c>
      <c r="T94" s="13" t="s">
        <v>52</v>
      </c>
      <c r="U94" s="40">
        <f>((IF(N94=[3]Datos!$B$233,15,0))/100)+((IF(O94=[3]Datos!$B$229,5,0))/100)+((IF(P94=[3]Datos!$B$233,15,0))/100)+((IF(Q94=[3]Datos!$B$231,10,0))/100)+((IF(R94=[3]Datos!$B$233,15,0))/100)+((IF(S94=[3]Datos!$B$231,10,0))/100)+((IF(T94=[3]Datos!$B$235,30,0))/100)</f>
        <v>0.85000000000000009</v>
      </c>
      <c r="V94" s="130">
        <f>IF(ISERROR(((IF(M94=[3]Datos!$B$224,U94,0))+(IF(M95=[3]Datos!$B$224,U95,0))+(IF(M96=[3]Datos!$B$224,U96,0))+(IF(M97=[3]Datos!$B$224,U97,0))+(IF(M98=[3]Datos!$B$224,U98,0))+(IF(M99=[3]Datos!$B$224,U99,0)))/((IF(M94=[3]Datos!$B$224,1,0))+(IF(M95=[3]Datos!$B$224,1,0))+(IF(M96=[3]Datos!$B$224,1,0))+(IF(M97=[3]Datos!$B$224,1,0))+(IF(M98=[3]Datos!$B$224,1,0))+(IF(M99=[3]Datos!$B$224,1,0)))),0,(((IF(M94=[3]Datos!$B$224,U94,0))+(IF(M95=[3]Datos!$B$224,U95,0))+(IF(M96=[3]Datos!$B$224,U96,0))+(IF(M97=[3]Datos!$B$224,U97,0))+(IF(M98=[3]Datos!$B$224,U98,0))+(IF(M99=[3]Datos!$B$224,U99,0)))/((IF(M94=[3]Datos!$B$224,1,0))+(IF(M95=[3]Datos!$B$224,1,0))+(IF(M96=[3]Datos!$B$224,1,0))+(IF(M97=[3]Datos!$B$224,1,0))+(IF(M98=[3]Datos!$B$224,1,0))+(IF(M99=[3]Datos!$B$224,1,0)))))</f>
        <v>0.95</v>
      </c>
      <c r="W94" s="127" t="str">
        <f>IF(I94="","-",(IF(V94&gt;0,(IF(I94=[3]Datos!$B$212,[3]Datos!$B$212,IF(AND(I94=[3]Datos!$B$213,V94&gt;0.49),[3]Datos!$B$212,IF(AND(I94=[3]Datos!$B$214,V94&gt;0.74),[3]Datos!$B$212,IF(AND(I94=[3]Datos!$B$214,V94&lt;0.75,V94&gt;0.49),[3]Datos!$B$213,IF(AND(I94=[3]Datos!$B$215,V94&gt;0.74),[3]Datos!$B$213,IF(AND(I94=[3]Datos!$B$215,V94&lt;0.75,V94&gt;0.49),[3]Datos!$B$214,IF(AND(I94=[3]Datos!$B$216,V94&gt;0.74),[3]Datos!$B$214,IF(AND(I94=[3]Datos!$B$216,V94&lt;0.75,V94&gt;0.49),[3]Datos!$B$215,I94))))))))),I94)))</f>
        <v>Rara vez - 1</v>
      </c>
      <c r="X94" s="130">
        <f>IF(ISERROR(((IF(M94=[3]Datos!$B$225,U94,0))+(IF(M95=[3]Datos!$B$225,U95,0))+(IF(M96=[3]Datos!$B$225,U96,0))+(IF(M97=[3]Datos!$B$225,U97,0))+(IF(M98=[3]Datos!$B$225,U98,0))+(IF(M99=[3]Datos!$B$225,U99,0))+(IF(M94=[3]Datos!$B$226,U94,0))+(IF(M95=[3]Datos!$B$226,U95,0))+(IF(M96=[3]Datos!$B$226,U96,0))+(IF(M97=[3]Datos!$B$226,U97,0))+(IF(M98=[3]Datos!$B$226,U98,0))+(IF(M99=[3]Datos!$B$226,U99,0)))/((IF(M94=[3]Datos!$B$225,1,0))+(IF(M95=[3]Datos!$B$225,1,0))+(IF(M96=[3]Datos!$B$225,1,0))+(IF(M97=[3]Datos!$B$225,1,0))+(IF(M98=[3]Datos!$B$225,1,0))+(IF(M99=[3]Datos!$B$225,1,0))+(IF(M94=[3]Datos!$B$226,1,0))+(IF(M95=[3]Datos!$B$226,1,0))+(IF(M96=[3]Datos!$B$226,1,0))+(IF(M97=[3]Datos!$B$226,1,0))+(IF(M98=[3]Datos!$B$226,1,0))+(IF(M99=[3]Datos!$B$226,1,0)))),0,((IF(M94=[3]Datos!$B$225,U94,0))+(IF(M95=[3]Datos!$B$225,U95,0))+(IF(M96=[3]Datos!$B$225,U96,0))+(IF(M97=[3]Datos!$B$225,U97,0))+(IF(M98=[3]Datos!$B$225,U98,0))+(IF(M99=[3]Datos!$B$225,U99,0))+(IF(M94=[3]Datos!$B$226,U94,0))+(IF(M95=[3]Datos!$B$226,U95,0))+(IF(M96=[3]Datos!$B$226,U96,0))+(IF(M97=[3]Datos!$B$226,U97,0))+(IF(M98=[3]Datos!$B$226,U98,0))+(IF(M99=[3]Datos!$B$226,U99,0)))/((IF(M94=[3]Datos!$B$225,1,0))+(IF(M95=[3]Datos!$B$225,1,0))+(IF(M96=[3]Datos!$B$225,1,0))+(IF(M97=[3]Datos!$B$225,1,0))+(IF(M98=[3]Datos!$B$225,1,0))+(IF(M99=[3]Datos!$B$225,1,0))+(IF(M94=[3]Datos!$B$226,1,0))+(IF(M95=[3]Datos!$B$226,1,0))+(IF(M96=[3]Datos!$B$226,1,0))+(IF(M97=[3]Datos!$B$226,1,0))+(IF(M98=[3]Datos!$B$226,1,0))+(IF(M99=[3]Datos!$B$226,1,0))))</f>
        <v>0.91666666666666663</v>
      </c>
      <c r="Y94" s="127" t="str">
        <f>IF(J94="","-",(IF(X94&gt;0,(IF(J94=[3]Datos!$B$219,[3]Datos!$B$219,IF(AND(J94=[3]Datos!$B$220,X94&gt;0.49),[3]Datos!$B$219,IF(AND(J94=[3]Datos!$B$221,X94&gt;0.74),[3]Datos!$B$219,IF(AND(J94=[3]Datos!$B$221,X94&lt;0.75,X94&gt;0.49),[3]Datos!$B$220,IF(AND(J94=[3]Datos!$B$222,X94&gt;0.74),[3]Datos!$B$220,IF(AND(J94=[3]Datos!$B$222,X94&lt;0.75,X94&gt;0.49),[3]Datos!$B$221,IF(AND(J94=[3]Datos!$B$223,X94&gt;0.74),[3]Datos!$B$221,IF(AND(J94=[3]Datos!$B$223,X94&lt;0.75,X94&gt;0.49),[3]Datos!$B$222,J94))))))))),J94)))</f>
        <v>Moderado - 5</v>
      </c>
      <c r="Z94" s="133" t="str">
        <f>IF(AND(W94=[3]Datos!$B$212,Y94=[3]Datos!$B$219),[3]Datos!$D$216,IF(AND(W94=[3]Datos!$B$212,Y94=[3]Datos!$B$220),[3]Datos!$E$216,IF(AND(W94=[3]Datos!$B$212,Y94=[3]Datos!$B$221),[3]Datos!$F$216,IF(AND(W94=[3]Datos!$B$213,Y94=[3]Datos!$B$219),[3]Datos!$D$215,IF(AND(W94=[3]Datos!$B$213,Y94=[3]Datos!$B$220),[3]Datos!$E$215,IF(AND(W94=[3]Datos!$B$213,Y94=[3]Datos!$B$221),[3]Datos!$F$215,IF(AND(W94=[3]Datos!$B$214,Y94=[3]Datos!$B$219),[3]Datos!$D$214,IF(AND(W94=[3]Datos!$B$214,Y94=[3]Datos!$B$220),[3]Datos!$E$214,IF(AND(W94=[3]Datos!$B$214,Y94=[3]Datos!$B$221),[3]Datos!$F$214,IF(AND(W94=[3]Datos!$B$215,Y94=[3]Datos!$B$219),[3]Datos!$D$213,IF(AND(W94=[3]Datos!$B$215,Y94=[3]Datos!$B$220),[3]Datos!$E$213,IF(AND(W94=[3]Datos!$B$215,Y94=[3]Datos!$B$221),[3]Datos!$F$213,IF(AND(W94=[3]Datos!$B$216,Y94=[3]Datos!$B$219),[3]Datos!$D$212,IF(AND(W94=[3]Datos!$B$216,Y94=[3]Datos!$B$220),[3]Datos!$E$212,IF(AND(W94=[3]Datos!$B$216,Y94=[3]Datos!$B$221),[3]Datos!$F$212,"-")))))))))))))))</f>
        <v>BAJA 5</v>
      </c>
      <c r="AA94" s="11"/>
      <c r="AB94" s="11"/>
      <c r="AC94" s="11"/>
      <c r="AD94" s="11"/>
      <c r="AE94" s="11"/>
      <c r="AF94" s="11"/>
      <c r="AG94" s="16"/>
    </row>
    <row r="95" spans="1:33" ht="42" customHeight="1" x14ac:dyDescent="0.25">
      <c r="A95" s="140"/>
      <c r="B95" s="141"/>
      <c r="C95" s="145"/>
      <c r="D95" s="170" t="s">
        <v>467</v>
      </c>
      <c r="E95" s="170"/>
      <c r="F95" s="136"/>
      <c r="G95" s="136"/>
      <c r="H95" s="96" t="s">
        <v>400</v>
      </c>
      <c r="I95" s="149"/>
      <c r="J95" s="149"/>
      <c r="K95" s="134"/>
      <c r="L95" s="22" t="s">
        <v>148</v>
      </c>
      <c r="M95" s="38" t="s">
        <v>81</v>
      </c>
      <c r="N95" s="20" t="s">
        <v>48</v>
      </c>
      <c r="O95" s="20" t="s">
        <v>49</v>
      </c>
      <c r="P95" s="20" t="s">
        <v>48</v>
      </c>
      <c r="Q95" s="20" t="s">
        <v>50</v>
      </c>
      <c r="R95" s="20" t="s">
        <v>48</v>
      </c>
      <c r="S95" s="20" t="s">
        <v>51</v>
      </c>
      <c r="T95" s="20" t="s">
        <v>52</v>
      </c>
      <c r="U95" s="41">
        <f>((IF(N95=[3]Datos!$B$233,15,0))/100)+((IF(O95=[3]Datos!$B$229,5,0))/100)+((IF(P95=[3]Datos!$B$233,15,0))/100)+((IF(Q95=[3]Datos!$B$231,10,0))/100)+((IF(R95=[3]Datos!$B$233,15,0))/100)+((IF(S95=[3]Datos!$B$231,10,0))/100)+((IF(T95=[3]Datos!$B$235,30,0))/100)</f>
        <v>0.89999999999999991</v>
      </c>
      <c r="V95" s="131"/>
      <c r="W95" s="128"/>
      <c r="X95" s="131"/>
      <c r="Y95" s="128"/>
      <c r="Z95" s="134"/>
      <c r="AA95" s="18"/>
      <c r="AB95" s="18"/>
      <c r="AC95" s="18"/>
      <c r="AD95" s="18"/>
      <c r="AE95" s="18"/>
      <c r="AF95" s="18"/>
      <c r="AG95" s="23"/>
    </row>
    <row r="96" spans="1:33" ht="49.5" customHeight="1" x14ac:dyDescent="0.25">
      <c r="A96" s="140"/>
      <c r="B96" s="141"/>
      <c r="C96" s="145"/>
      <c r="D96" s="136" t="s">
        <v>468</v>
      </c>
      <c r="E96" s="136"/>
      <c r="F96" s="136"/>
      <c r="G96" s="136"/>
      <c r="H96" s="96" t="s">
        <v>401</v>
      </c>
      <c r="I96" s="149"/>
      <c r="J96" s="149"/>
      <c r="K96" s="134"/>
      <c r="L96" s="22" t="s">
        <v>149</v>
      </c>
      <c r="M96" s="38" t="s">
        <v>47</v>
      </c>
      <c r="N96" s="20" t="s">
        <v>48</v>
      </c>
      <c r="O96" s="20" t="s">
        <v>49</v>
      </c>
      <c r="P96" s="20" t="s">
        <v>48</v>
      </c>
      <c r="Q96" s="20" t="s">
        <v>51</v>
      </c>
      <c r="R96" s="20" t="s">
        <v>48</v>
      </c>
      <c r="S96" s="20" t="s">
        <v>51</v>
      </c>
      <c r="T96" s="20" t="s">
        <v>52</v>
      </c>
      <c r="U96" s="41">
        <f>((IF(N96=[3]Datos!$B$233,15,0))/100)+((IF(O96=[3]Datos!$B$229,5,0))/100)+((IF(P96=[3]Datos!$B$233,15,0))/100)+((IF(Q96=[3]Datos!$B$231,10,0))/100)+((IF(R96=[3]Datos!$B$233,15,0))/100)+((IF(S96=[3]Datos!$B$231,10,0))/100)+((IF(T96=[3]Datos!$B$235,30,0))/100)</f>
        <v>1</v>
      </c>
      <c r="V96" s="131"/>
      <c r="W96" s="128"/>
      <c r="X96" s="131"/>
      <c r="Y96" s="128"/>
      <c r="Z96" s="134"/>
      <c r="AA96" s="18"/>
      <c r="AB96" s="18"/>
      <c r="AC96" s="18"/>
      <c r="AD96" s="18"/>
      <c r="AE96" s="18"/>
      <c r="AF96" s="18"/>
      <c r="AG96" s="23"/>
    </row>
    <row r="97" spans="1:33" ht="47.25" customHeight="1" x14ac:dyDescent="0.25">
      <c r="A97" s="140"/>
      <c r="B97" s="141"/>
      <c r="C97" s="145"/>
      <c r="D97" s="170" t="s">
        <v>383</v>
      </c>
      <c r="E97" s="170"/>
      <c r="F97" s="136"/>
      <c r="G97" s="136"/>
      <c r="H97" s="35" t="s">
        <v>150</v>
      </c>
      <c r="I97" s="149"/>
      <c r="J97" s="149"/>
      <c r="K97" s="134"/>
      <c r="L97" s="22" t="s">
        <v>341</v>
      </c>
      <c r="M97" s="38" t="s">
        <v>47</v>
      </c>
      <c r="N97" s="20" t="s">
        <v>48</v>
      </c>
      <c r="O97" s="20" t="s">
        <v>49</v>
      </c>
      <c r="P97" s="20" t="s">
        <v>48</v>
      </c>
      <c r="Q97" s="20" t="s">
        <v>50</v>
      </c>
      <c r="R97" s="20" t="s">
        <v>48</v>
      </c>
      <c r="S97" s="20" t="s">
        <v>51</v>
      </c>
      <c r="T97" s="20" t="s">
        <v>52</v>
      </c>
      <c r="U97" s="41">
        <f>((IF(N97=[3]Datos!$B$233,15,0))/100)+((IF(O97=[3]Datos!$B$229,5,0))/100)+((IF(P97=[3]Datos!$B$233,15,0))/100)+((IF(Q97=[3]Datos!$B$231,10,0))/100)+((IF(R97=[3]Datos!$B$233,15,0))/100)+((IF(S97=[3]Datos!$B$231,10,0))/100)+((IF(T97=[3]Datos!$B$235,30,0))/100)</f>
        <v>0.89999999999999991</v>
      </c>
      <c r="V97" s="131"/>
      <c r="W97" s="128"/>
      <c r="X97" s="131"/>
      <c r="Y97" s="128"/>
      <c r="Z97" s="134"/>
      <c r="AA97" s="18"/>
      <c r="AB97" s="18"/>
      <c r="AC97" s="18"/>
      <c r="AD97" s="18"/>
      <c r="AE97" s="18"/>
      <c r="AF97" s="18"/>
      <c r="AG97" s="23"/>
    </row>
    <row r="98" spans="1:33" ht="30" x14ac:dyDescent="0.25">
      <c r="A98" s="140"/>
      <c r="B98" s="141"/>
      <c r="C98" s="145"/>
      <c r="D98" s="136"/>
      <c r="E98" s="136"/>
      <c r="F98" s="136"/>
      <c r="G98" s="136"/>
      <c r="H98" s="35"/>
      <c r="I98" s="149"/>
      <c r="J98" s="149"/>
      <c r="K98" s="134"/>
      <c r="L98" s="22" t="s">
        <v>342</v>
      </c>
      <c r="M98" s="38" t="s">
        <v>81</v>
      </c>
      <c r="N98" s="20" t="s">
        <v>48</v>
      </c>
      <c r="O98" s="20" t="s">
        <v>49</v>
      </c>
      <c r="P98" s="20" t="s">
        <v>48</v>
      </c>
      <c r="Q98" s="20" t="s">
        <v>51</v>
      </c>
      <c r="R98" s="20" t="s">
        <v>48</v>
      </c>
      <c r="S98" s="20" t="s">
        <v>51</v>
      </c>
      <c r="T98" s="20" t="s">
        <v>52</v>
      </c>
      <c r="U98" s="41">
        <f>((IF(N98=[3]Datos!$B$233,15,0))/100)+((IF(O98=[3]Datos!$B$229,5,0))/100)+((IF(P98=[3]Datos!$B$233,15,0))/100)+((IF(Q98=[3]Datos!$B$231,10,0))/100)+((IF(R98=[3]Datos!$B$233,15,0))/100)+((IF(S98=[3]Datos!$B$231,10,0))/100)+((IF(T98=[3]Datos!$B$235,30,0))/100)</f>
        <v>1</v>
      </c>
      <c r="V98" s="131"/>
      <c r="W98" s="128"/>
      <c r="X98" s="131"/>
      <c r="Y98" s="128"/>
      <c r="Z98" s="134"/>
      <c r="AA98" s="18"/>
      <c r="AB98" s="18"/>
      <c r="AC98" s="18"/>
      <c r="AD98" s="18"/>
      <c r="AE98" s="18"/>
      <c r="AF98" s="18"/>
      <c r="AG98" s="23"/>
    </row>
    <row r="99" spans="1:33" ht="15.75" thickBot="1" x14ac:dyDescent="0.3">
      <c r="A99" s="142"/>
      <c r="B99" s="143"/>
      <c r="C99" s="146"/>
      <c r="D99" s="137"/>
      <c r="E99" s="137"/>
      <c r="F99" s="137"/>
      <c r="G99" s="137"/>
      <c r="H99" s="36"/>
      <c r="I99" s="150"/>
      <c r="J99" s="150"/>
      <c r="K99" s="135"/>
      <c r="L99" s="49"/>
      <c r="M99" s="39"/>
      <c r="N99" s="28"/>
      <c r="O99" s="28"/>
      <c r="P99" s="28"/>
      <c r="Q99" s="28"/>
      <c r="R99" s="28"/>
      <c r="S99" s="28"/>
      <c r="T99" s="28"/>
      <c r="U99" s="42">
        <f>((IF(N99=[3]Datos!$B$233,15,0))/100)+((IF(O99=[3]Datos!$B$229,5,0))/100)+((IF(P99=[3]Datos!$B$233,15,0))/100)+((IF(Q99=[3]Datos!$B$231,10,0))/100)+((IF(R99=[3]Datos!$B$233,15,0))/100)+((IF(S99=[3]Datos!$B$231,10,0))/100)+((IF(T99=[3]Datos!$B$235,30,0))/100)</f>
        <v>0</v>
      </c>
      <c r="V99" s="132"/>
      <c r="W99" s="129"/>
      <c r="X99" s="132"/>
      <c r="Y99" s="129"/>
      <c r="Z99" s="135"/>
      <c r="AA99" s="26"/>
      <c r="AB99" s="26"/>
      <c r="AC99" s="26"/>
      <c r="AD99" s="26"/>
      <c r="AE99" s="26"/>
      <c r="AF99" s="26"/>
      <c r="AG99" s="30"/>
    </row>
    <row r="100" spans="1:33" ht="35.25" customHeight="1" x14ac:dyDescent="0.25">
      <c r="A100" s="138" t="s">
        <v>133</v>
      </c>
      <c r="B100" s="139"/>
      <c r="C100" s="144" t="s">
        <v>438</v>
      </c>
      <c r="D100" s="147" t="s">
        <v>469</v>
      </c>
      <c r="E100" s="147"/>
      <c r="F100" s="147" t="s">
        <v>151</v>
      </c>
      <c r="G100" s="147" t="s">
        <v>152</v>
      </c>
      <c r="H100" s="95" t="s">
        <v>400</v>
      </c>
      <c r="I100" s="148" t="s">
        <v>120</v>
      </c>
      <c r="J100" s="148" t="s">
        <v>85</v>
      </c>
      <c r="K100" s="133" t="str">
        <f>IF(AND(I100=[3]Datos!$B$212,J100=[3]Datos!$B$219),[3]Datos!$D$216,IF(AND(I100=[3]Datos!$B$212,J100=[3]Datos!$B$220),[3]Datos!$E$216,IF(AND(I100=[3]Datos!$B$212,J100=[3]Datos!$B$221),[3]Datos!$F$216,IF(AND(I100=[3]Datos!$B$213,J100=[3]Datos!$B$219),[3]Datos!$D$215,IF(AND(I100=[3]Datos!$B$213,J100=[3]Datos!$B$220),[3]Datos!$E$215,IF(AND(I100=[3]Datos!$B$213,J100=[3]Datos!$B$221),[3]Datos!$F$215,IF(AND(I100=[3]Datos!$B$214,J100=[3]Datos!$B$219),[3]Datos!$D$214,IF(AND(I100=[3]Datos!$B$214,J100=[3]Datos!$B$220),[3]Datos!$E$214,IF(AND(I100=[3]Datos!$B$214,J100=[3]Datos!$B$221),[3]Datos!$F$214,IF(AND(I100=[3]Datos!$B$215,J100=[3]Datos!$B$219),[3]Datos!$D$213,IF(AND(I100=[3]Datos!$B$215,J100=[3]Datos!$B$220),[3]Datos!$E$213,IF(AND(I100=[3]Datos!$B$215,J100=[3]Datos!$B$221),[3]Datos!$F$213,IF(AND(I100=[3]Datos!$B$216,J100=[3]Datos!$B$219),[3]Datos!$D$212,IF(AND(I100=[3]Datos!$B$216,J100=[3]Datos!$B$220),[3]Datos!$E$212,IF(AND(I100=[3]Datos!$B$216,J100=[3]Datos!$B$221),[3]Datos!$F$212,"-")))))))))))))))</f>
        <v>MODERADA 20</v>
      </c>
      <c r="L100" s="15" t="s">
        <v>153</v>
      </c>
      <c r="M100" s="37" t="s">
        <v>47</v>
      </c>
      <c r="N100" s="13" t="s">
        <v>48</v>
      </c>
      <c r="O100" s="13" t="s">
        <v>49</v>
      </c>
      <c r="P100" s="13" t="s">
        <v>48</v>
      </c>
      <c r="Q100" s="13" t="s">
        <v>51</v>
      </c>
      <c r="R100" s="13" t="s">
        <v>48</v>
      </c>
      <c r="S100" s="13" t="s">
        <v>51</v>
      </c>
      <c r="T100" s="13" t="s">
        <v>52</v>
      </c>
      <c r="U100" s="40">
        <f>((IF(N100=[3]Datos!$B$233,15,0))/100)+((IF(O100=[3]Datos!$B$229,5,0))/100)+((IF(P100=[3]Datos!$B$233,15,0))/100)+((IF(Q100=[3]Datos!$B$231,10,0))/100)+((IF(R100=[3]Datos!$B$233,15,0))/100)+((IF(S100=[3]Datos!$B$231,10,0))/100)+((IF(T100=[3]Datos!$B$235,30,0))/100)</f>
        <v>1</v>
      </c>
      <c r="V100" s="130">
        <f>IF(ISERROR(((IF(M100=[3]Datos!$B$224,U100,0))+(IF(M101=[3]Datos!$B$224,U101,0))+(IF(M102=[3]Datos!$B$224,U102,0))+(IF(M103=[3]Datos!$B$224,U103,0))+(IF(M104=[3]Datos!$B$224,U104,0))+(IF(M105=[3]Datos!$B$224,U105,0)))/((IF(M100=[3]Datos!$B$224,1,0))+(IF(M101=[3]Datos!$B$224,1,0))+(IF(M102=[3]Datos!$B$224,1,0))+(IF(M103=[3]Datos!$B$224,1,0))+(IF(M104=[3]Datos!$B$224,1,0))+(IF(M105=[3]Datos!$B$224,1,0)))),0,(((IF(M100=[3]Datos!$B$224,U100,0))+(IF(M101=[3]Datos!$B$224,U101,0))+(IF(M102=[3]Datos!$B$224,U102,0))+(IF(M103=[3]Datos!$B$224,U103,0))+(IF(M104=[3]Datos!$B$224,U104,0))+(IF(M105=[3]Datos!$B$224,U105,0)))/((IF(M100=[3]Datos!$B$224,1,0))+(IF(M101=[3]Datos!$B$224,1,0))+(IF(M102=[3]Datos!$B$224,1,0))+(IF(M103=[3]Datos!$B$224,1,0))+(IF(M104=[3]Datos!$B$224,1,0))+(IF(M105=[3]Datos!$B$224,1,0)))))</f>
        <v>0.71666666666666667</v>
      </c>
      <c r="W100" s="127" t="str">
        <f>IF(I100="","-",(IF(V100&gt;0,(IF(I100=[3]Datos!$B$212,[3]Datos!$B$212,IF(AND(I100=[3]Datos!$B$213,V100&gt;0.49),[3]Datos!$B$212,IF(AND(I100=[3]Datos!$B$214,V100&gt;0.74),[3]Datos!$B$212,IF(AND(I100=[3]Datos!$B$214,V100&lt;0.75,V100&gt;0.49),[3]Datos!$B$213,IF(AND(I100=[3]Datos!$B$215,V100&gt;0.74),[3]Datos!$B$213,IF(AND(I100=[3]Datos!$B$215,V100&lt;0.75,V100&gt;0.49),[3]Datos!$B$214,IF(AND(I100=[3]Datos!$B$216,V100&gt;0.74),[3]Datos!$B$214,IF(AND(I100=[3]Datos!$B$216,V100&lt;0.75,V100&gt;0.49),[3]Datos!$B$215,I100))))))))),I100)))</f>
        <v>Rara vez - 1</v>
      </c>
      <c r="X100" s="130">
        <f>IF(ISERROR(((IF(M100=[3]Datos!$B$225,U100,0))+(IF(M101=[3]Datos!$B$225,U101,0))+(IF(M102=[3]Datos!$B$225,U102,0))+(IF(M103=[3]Datos!$B$225,U103,0))+(IF(M104=[3]Datos!$B$225,U104,0))+(IF(M105=[3]Datos!$B$225,U105,0))+(IF(M100=[3]Datos!$B$226,U100,0))+(IF(M101=[3]Datos!$B$226,U101,0))+(IF(M102=[3]Datos!$B$226,U102,0))+(IF(M103=[3]Datos!$B$226,U103,0))+(IF(M104=[3]Datos!$B$226,U104,0))+(IF(M105=[3]Datos!$B$226,U105,0)))/((IF(M100=[3]Datos!$B$225,1,0))+(IF(M101=[3]Datos!$B$225,1,0))+(IF(M102=[3]Datos!$B$225,1,0))+(IF(M103=[3]Datos!$B$225,1,0))+(IF(M104=[3]Datos!$B$225,1,0))+(IF(M105=[3]Datos!$B$225,1,0))+(IF(M100=[3]Datos!$B$226,1,0))+(IF(M101=[3]Datos!$B$226,1,0))+(IF(M102=[3]Datos!$B$226,1,0))+(IF(M103=[3]Datos!$B$226,1,0))+(IF(M104=[3]Datos!$B$226,1,0))+(IF(M105=[3]Datos!$B$226,1,0)))),0,((IF(M100=[3]Datos!$B$225,U100,0))+(IF(M101=[3]Datos!$B$225,U101,0))+(IF(M102=[3]Datos!$B$225,U102,0))+(IF(M103=[3]Datos!$B$225,U103,0))+(IF(M104=[3]Datos!$B$225,U104,0))+(IF(M105=[3]Datos!$B$225,U105,0))+(IF(M100=[3]Datos!$B$226,U100,0))+(IF(M101=[3]Datos!$B$226,U101,0))+(IF(M102=[3]Datos!$B$226,U102,0))+(IF(M103=[3]Datos!$B$226,U103,0))+(IF(M104=[3]Datos!$B$226,U104,0))+(IF(M105=[3]Datos!$B$226,U105,0)))/((IF(M100=[3]Datos!$B$225,1,0))+(IF(M101=[3]Datos!$B$225,1,0))+(IF(M102=[3]Datos!$B$225,1,0))+(IF(M103=[3]Datos!$B$225,1,0))+(IF(M104=[3]Datos!$B$225,1,0))+(IF(M105=[3]Datos!$B$225,1,0))+(IF(M100=[3]Datos!$B$226,1,0))+(IF(M101=[3]Datos!$B$226,1,0))+(IF(M102=[3]Datos!$B$226,1,0))+(IF(M103=[3]Datos!$B$226,1,0))+(IF(M104=[3]Datos!$B$226,1,0))+(IF(M105=[3]Datos!$B$226,1,0))))</f>
        <v>0.89999999999999991</v>
      </c>
      <c r="Y100" s="127" t="str">
        <f>IF(J100="","-",(IF(X100&gt;0,(IF(J100=[3]Datos!$B$219,[3]Datos!$B$219,IF(AND(J100=[3]Datos!$B$220,X100&gt;0.49),[3]Datos!$B$219,IF(AND(J100=[3]Datos!$B$221,X100&gt;0.74),[3]Datos!$B$219,IF(AND(J100=[3]Datos!$B$221,X100&lt;0.75,X100&gt;0.49),[3]Datos!$B$220,IF(AND(J100=[3]Datos!$B$222,X100&gt;0.74),[3]Datos!$B$220,IF(AND(J100=[3]Datos!$B$222,X100&lt;0.75,X100&gt;0.49),[3]Datos!$B$221,IF(AND(J100=[3]Datos!$B$223,X100&gt;0.74),[3]Datos!$B$221,IF(AND(J100=[3]Datos!$B$223,X100&lt;0.75,X100&gt;0.49),[3]Datos!$B$222,J100))))))))),J100)))</f>
        <v>Moderado - 5</v>
      </c>
      <c r="Z100" s="133" t="str">
        <f>IF(AND(W100=[3]Datos!$B$212,Y100=[3]Datos!$B$219),[3]Datos!$D$216,IF(AND(W100=[3]Datos!$B$212,Y100=[3]Datos!$B$220),[3]Datos!$E$216,IF(AND(W100=[3]Datos!$B$212,Y100=[3]Datos!$B$221),[3]Datos!$F$216,IF(AND(W100=[3]Datos!$B$213,Y100=[3]Datos!$B$219),[3]Datos!$D$215,IF(AND(W100=[3]Datos!$B$213,Y100=[3]Datos!$B$220),[3]Datos!$E$215,IF(AND(W100=[3]Datos!$B$213,Y100=[3]Datos!$B$221),[3]Datos!$F$215,IF(AND(W100=[3]Datos!$B$214,Y100=[3]Datos!$B$219),[3]Datos!$D$214,IF(AND(W100=[3]Datos!$B$214,Y100=[3]Datos!$B$220),[3]Datos!$E$214,IF(AND(W100=[3]Datos!$B$214,Y100=[3]Datos!$B$221),[3]Datos!$F$214,IF(AND(W100=[3]Datos!$B$215,Y100=[3]Datos!$B$219),[3]Datos!$D$213,IF(AND(W100=[3]Datos!$B$215,Y100=[3]Datos!$B$220),[3]Datos!$E$213,IF(AND(W100=[3]Datos!$B$215,Y100=[3]Datos!$B$221),[3]Datos!$F$213,IF(AND(W100=[3]Datos!$B$216,Y100=[3]Datos!$B$219),[3]Datos!$D$212,IF(AND(W100=[3]Datos!$B$216,Y100=[3]Datos!$B$220),[3]Datos!$E$212,IF(AND(W100=[3]Datos!$B$216,Y100=[3]Datos!$B$221),[3]Datos!$F$212,"-")))))))))))))))</f>
        <v>BAJA 5</v>
      </c>
      <c r="AA100" s="11"/>
      <c r="AB100" s="11"/>
      <c r="AC100" s="11"/>
      <c r="AD100" s="11"/>
      <c r="AE100" s="11"/>
      <c r="AF100" s="11"/>
      <c r="AG100" s="16"/>
    </row>
    <row r="101" spans="1:33" ht="47.25" customHeight="1" x14ac:dyDescent="0.25">
      <c r="A101" s="140"/>
      <c r="B101" s="141"/>
      <c r="C101" s="145"/>
      <c r="D101" s="136" t="s">
        <v>470</v>
      </c>
      <c r="E101" s="136"/>
      <c r="F101" s="136"/>
      <c r="G101" s="136"/>
      <c r="H101" s="98" t="s">
        <v>405</v>
      </c>
      <c r="I101" s="149"/>
      <c r="J101" s="149"/>
      <c r="K101" s="134"/>
      <c r="L101" s="22" t="s">
        <v>154</v>
      </c>
      <c r="M101" s="38" t="s">
        <v>47</v>
      </c>
      <c r="N101" s="20" t="s">
        <v>50</v>
      </c>
      <c r="O101" s="20" t="s">
        <v>49</v>
      </c>
      <c r="P101" s="20" t="s">
        <v>50</v>
      </c>
      <c r="Q101" s="20" t="s">
        <v>51</v>
      </c>
      <c r="R101" s="20" t="s">
        <v>50</v>
      </c>
      <c r="S101" s="20" t="s">
        <v>51</v>
      </c>
      <c r="T101" s="20" t="s">
        <v>50</v>
      </c>
      <c r="U101" s="41">
        <f>((IF(N101=[3]Datos!$B$233,15,0))/100)+((IF(O101=[3]Datos!$B$229,5,0))/100)+((IF(P101=[3]Datos!$B$233,15,0))/100)+((IF(Q101=[3]Datos!$B$231,10,0))/100)+((IF(R101=[3]Datos!$B$233,15,0))/100)+((IF(S101=[3]Datos!$B$231,10,0))/100)+((IF(T101=[3]Datos!$B$235,30,0))/100)</f>
        <v>0.25</v>
      </c>
      <c r="V101" s="131"/>
      <c r="W101" s="128"/>
      <c r="X101" s="131"/>
      <c r="Y101" s="128"/>
      <c r="Z101" s="134"/>
      <c r="AA101" s="18"/>
      <c r="AB101" s="18"/>
      <c r="AC101" s="18"/>
      <c r="AD101" s="18"/>
      <c r="AE101" s="18"/>
      <c r="AF101" s="18"/>
      <c r="AG101" s="23"/>
    </row>
    <row r="102" spans="1:33" ht="30" x14ac:dyDescent="0.25">
      <c r="A102" s="140"/>
      <c r="B102" s="141"/>
      <c r="C102" s="145"/>
      <c r="D102" s="136"/>
      <c r="E102" s="136"/>
      <c r="F102" s="136"/>
      <c r="G102" s="136"/>
      <c r="H102" s="96" t="s">
        <v>155</v>
      </c>
      <c r="I102" s="149"/>
      <c r="J102" s="149"/>
      <c r="K102" s="134"/>
      <c r="L102" s="22" t="s">
        <v>156</v>
      </c>
      <c r="M102" s="38" t="s">
        <v>60</v>
      </c>
      <c r="N102" s="20" t="s">
        <v>48</v>
      </c>
      <c r="O102" s="20" t="s">
        <v>49</v>
      </c>
      <c r="P102" s="20" t="s">
        <v>48</v>
      </c>
      <c r="Q102" s="20" t="s">
        <v>50</v>
      </c>
      <c r="R102" s="20" t="s">
        <v>48</v>
      </c>
      <c r="S102" s="20" t="s">
        <v>51</v>
      </c>
      <c r="T102" s="20" t="s">
        <v>52</v>
      </c>
      <c r="U102" s="41">
        <f>((IF(N102=[3]Datos!$B$233,15,0))/100)+((IF(O102=[3]Datos!$B$229,5,0))/100)+((IF(P102=[3]Datos!$B$233,15,0))/100)+((IF(Q102=[3]Datos!$B$231,10,0))/100)+((IF(R102=[3]Datos!$B$233,15,0))/100)+((IF(S102=[3]Datos!$B$231,10,0))/100)+((IF(T102=[3]Datos!$B$235,30,0))/100)</f>
        <v>0.89999999999999991</v>
      </c>
      <c r="V102" s="131"/>
      <c r="W102" s="128"/>
      <c r="X102" s="131"/>
      <c r="Y102" s="128"/>
      <c r="Z102" s="134"/>
      <c r="AA102" s="18"/>
      <c r="AB102" s="18"/>
      <c r="AC102" s="18"/>
      <c r="AD102" s="18"/>
      <c r="AE102" s="18"/>
      <c r="AF102" s="18"/>
      <c r="AG102" s="23"/>
    </row>
    <row r="103" spans="1:33" ht="30" x14ac:dyDescent="0.25">
      <c r="A103" s="140"/>
      <c r="B103" s="141"/>
      <c r="C103" s="145"/>
      <c r="D103" s="136"/>
      <c r="E103" s="136"/>
      <c r="F103" s="136"/>
      <c r="G103" s="136"/>
      <c r="H103" s="96"/>
      <c r="I103" s="149"/>
      <c r="J103" s="149"/>
      <c r="K103" s="134"/>
      <c r="L103" s="22" t="s">
        <v>157</v>
      </c>
      <c r="M103" s="38" t="s">
        <v>47</v>
      </c>
      <c r="N103" s="20" t="s">
        <v>48</v>
      </c>
      <c r="O103" s="20" t="s">
        <v>49</v>
      </c>
      <c r="P103" s="20" t="s">
        <v>48</v>
      </c>
      <c r="Q103" s="20" t="s">
        <v>50</v>
      </c>
      <c r="R103" s="20" t="s">
        <v>48</v>
      </c>
      <c r="S103" s="20" t="s">
        <v>51</v>
      </c>
      <c r="T103" s="20" t="s">
        <v>52</v>
      </c>
      <c r="U103" s="41">
        <f>((IF(N103=[3]Datos!$B$233,15,0))/100)+((IF(O103=[3]Datos!$B$229,5,0))/100)+((IF(P103=[3]Datos!$B$233,15,0))/100)+((IF(Q103=[3]Datos!$B$231,10,0))/100)+((IF(R103=[3]Datos!$B$233,15,0))/100)+((IF(S103=[3]Datos!$B$231,10,0))/100)+((IF(T103=[3]Datos!$B$235,30,0))/100)</f>
        <v>0.89999999999999991</v>
      </c>
      <c r="V103" s="131"/>
      <c r="W103" s="128"/>
      <c r="X103" s="131"/>
      <c r="Y103" s="128"/>
      <c r="Z103" s="134"/>
      <c r="AA103" s="18"/>
      <c r="AB103" s="18"/>
      <c r="AC103" s="18"/>
      <c r="AD103" s="18"/>
      <c r="AE103" s="18"/>
      <c r="AF103" s="18"/>
      <c r="AG103" s="23"/>
    </row>
    <row r="104" spans="1:33" x14ac:dyDescent="0.25">
      <c r="A104" s="140"/>
      <c r="B104" s="141"/>
      <c r="C104" s="145"/>
      <c r="D104" s="136"/>
      <c r="E104" s="136"/>
      <c r="F104" s="136"/>
      <c r="G104" s="136"/>
      <c r="H104" s="96"/>
      <c r="I104" s="149"/>
      <c r="J104" s="149"/>
      <c r="K104" s="134"/>
      <c r="L104" s="22"/>
      <c r="M104" s="38"/>
      <c r="N104" s="20"/>
      <c r="O104" s="20"/>
      <c r="P104" s="20"/>
      <c r="Q104" s="20"/>
      <c r="R104" s="20"/>
      <c r="S104" s="20"/>
      <c r="T104" s="20"/>
      <c r="U104" s="41">
        <f>((IF(N104=[3]Datos!$B$233,15,0))/100)+((IF(O104=[3]Datos!$B$229,5,0))/100)+((IF(P104=[3]Datos!$B$233,15,0))/100)+((IF(Q104=[3]Datos!$B$231,10,0))/100)+((IF(R104=[3]Datos!$B$233,15,0))/100)+((IF(S104=[3]Datos!$B$231,10,0))/100)+((IF(T104=[3]Datos!$B$235,30,0))/100)</f>
        <v>0</v>
      </c>
      <c r="V104" s="131"/>
      <c r="W104" s="128"/>
      <c r="X104" s="131"/>
      <c r="Y104" s="128"/>
      <c r="Z104" s="134"/>
      <c r="AA104" s="18"/>
      <c r="AB104" s="18"/>
      <c r="AC104" s="18"/>
      <c r="AD104" s="18"/>
      <c r="AE104" s="18"/>
      <c r="AF104" s="18"/>
      <c r="AG104" s="23"/>
    </row>
    <row r="105" spans="1:33" ht="15.75" thickBot="1" x14ac:dyDescent="0.3">
      <c r="A105" s="142"/>
      <c r="B105" s="143"/>
      <c r="C105" s="146"/>
      <c r="D105" s="137"/>
      <c r="E105" s="137"/>
      <c r="F105" s="137"/>
      <c r="G105" s="137"/>
      <c r="H105" s="97"/>
      <c r="I105" s="150"/>
      <c r="J105" s="150"/>
      <c r="K105" s="135"/>
      <c r="L105" s="49"/>
      <c r="M105" s="39"/>
      <c r="N105" s="28"/>
      <c r="O105" s="28"/>
      <c r="P105" s="28"/>
      <c r="Q105" s="28"/>
      <c r="R105" s="28"/>
      <c r="S105" s="28"/>
      <c r="T105" s="28"/>
      <c r="U105" s="42">
        <f>((IF(N105=[3]Datos!$B$233,15,0))/100)+((IF(O105=[3]Datos!$B$229,5,0))/100)+((IF(P105=[3]Datos!$B$233,15,0))/100)+((IF(Q105=[3]Datos!$B$231,10,0))/100)+((IF(R105=[3]Datos!$B$233,15,0))/100)+((IF(S105=[3]Datos!$B$231,10,0))/100)+((IF(T105=[3]Datos!$B$235,30,0))/100)</f>
        <v>0</v>
      </c>
      <c r="V105" s="132"/>
      <c r="W105" s="129"/>
      <c r="X105" s="132"/>
      <c r="Y105" s="129"/>
      <c r="Z105" s="135"/>
      <c r="AA105" s="26"/>
      <c r="AB105" s="26"/>
      <c r="AC105" s="26"/>
      <c r="AD105" s="26"/>
      <c r="AE105" s="26"/>
      <c r="AF105" s="26"/>
      <c r="AG105" s="30"/>
    </row>
    <row r="106" spans="1:33" ht="36" customHeight="1" x14ac:dyDescent="0.25">
      <c r="A106" s="151" t="s">
        <v>532</v>
      </c>
      <c r="B106" s="127"/>
      <c r="C106" s="154" t="s">
        <v>539</v>
      </c>
      <c r="D106" s="187" t="s">
        <v>471</v>
      </c>
      <c r="E106" s="188"/>
      <c r="F106" s="185" t="s">
        <v>158</v>
      </c>
      <c r="G106" s="157" t="s">
        <v>343</v>
      </c>
      <c r="H106" s="43" t="s">
        <v>159</v>
      </c>
      <c r="I106" s="148" t="s">
        <v>160</v>
      </c>
      <c r="J106" s="148" t="s">
        <v>46</v>
      </c>
      <c r="K106" s="133" t="str">
        <f>IF(AND(I106=[4]Datos!$B$212,J106=[4]Datos!$B$219),[4]Datos!$D$216,IF(AND(I106=[4]Datos!$B$212,J106=[4]Datos!$B$220),[4]Datos!$E$216,IF(AND(I106=[4]Datos!$B$212,J106=[4]Datos!$B$221),[4]Datos!$F$216,IF(AND(I106=[4]Datos!$B$213,J106=[4]Datos!$B$219),[4]Datos!$D$215,IF(AND(I106=[4]Datos!$B$213,J106=[4]Datos!$B$220),[4]Datos!$E$215,IF(AND(I106=[4]Datos!$B$213,J106=[4]Datos!$B$221),[4]Datos!$F$215,IF(AND(I106=[4]Datos!$B$214,J106=[4]Datos!$B$219),[4]Datos!$D$214,IF(AND(I106=[4]Datos!$B$214,J106=[4]Datos!$B$220),[4]Datos!$E$214,IF(AND(I106=[4]Datos!$B$214,J106=[4]Datos!$B$221),[4]Datos!$F$214,IF(AND(I106=[4]Datos!$B$215,J106=[4]Datos!$B$219),[4]Datos!$D$213,IF(AND(I106=[4]Datos!$B$215,J106=[4]Datos!$B$220),[4]Datos!$E$213,IF(AND(I106=[4]Datos!$B$215,J106=[4]Datos!$B$221),[4]Datos!$F$213,IF(AND(I106=[4]Datos!$B$216,J106=[4]Datos!$B$219),[4]Datos!$D$212,IF(AND(I106=[4]Datos!$B$216,J106=[4]Datos!$B$220),[4]Datos!$E$212,IF(AND(I106=[4]Datos!$B$216,J106=[4]Datos!$B$221),[4]Datos!$F$212,"-")))))))))))))))</f>
        <v>MODERADA 20</v>
      </c>
      <c r="L106" s="15" t="s">
        <v>161</v>
      </c>
      <c r="M106" s="37" t="s">
        <v>47</v>
      </c>
      <c r="N106" s="13" t="s">
        <v>48</v>
      </c>
      <c r="O106" s="13" t="s">
        <v>49</v>
      </c>
      <c r="P106" s="13" t="s">
        <v>50</v>
      </c>
      <c r="Q106" s="13" t="s">
        <v>51</v>
      </c>
      <c r="R106" s="13" t="s">
        <v>50</v>
      </c>
      <c r="S106" s="13" t="s">
        <v>51</v>
      </c>
      <c r="T106" s="13" t="s">
        <v>52</v>
      </c>
      <c r="U106" s="40">
        <f>((IF(N106=[4]Datos!$B$233,15,0))/100)+((IF(O106=[4]Datos!$B$229,5,0))/100)+((IF(P106=[4]Datos!$B$233,15,0))/100)+((IF(Q106=[4]Datos!$B$231,10,0))/100)+((IF(R106=[4]Datos!$B$233,15,0))/100)+((IF(S106=[4]Datos!$B$231,10,0))/100)+((IF(T106=[4]Datos!$B$235,30,0))/100)</f>
        <v>0.7</v>
      </c>
      <c r="V106" s="130">
        <f>IF(ISERROR(((IF(M106=[4]Datos!$B$224,U106,0))+(IF(M107=[4]Datos!$B$224,U107,0))+(IF(M108=[4]Datos!$B$224,U108,0))+(IF(M109=[4]Datos!$B$224,U109,0))+(IF(M110=[4]Datos!$B$224,U110,0))+(IF(M111=[4]Datos!$B$224,U111,0)))/((IF(M106=[4]Datos!$B$224,1,0))+(IF(M107=[4]Datos!$B$224,1,0))+(IF(M108=[4]Datos!$B$224,1,0))+(IF(M109=[4]Datos!$B$224,1,0))+(IF(M110=[4]Datos!$B$224,1,0))+(IF(M111=[4]Datos!$B$224,1,0)))),0,(((IF(M106=[4]Datos!$B$224,U106,0))+(IF(M107=[4]Datos!$B$224,U107,0))+(IF(M108=[4]Datos!$B$224,U108,0))+(IF(M109=[4]Datos!$B$224,U109,0))+(IF(M110=[4]Datos!$B$224,U110,0))+(IF(M111=[4]Datos!$B$224,U111,0)))/((IF(M106=[4]Datos!$B$224,1,0))+(IF(M107=[4]Datos!$B$224,1,0))+(IF(M108=[4]Datos!$B$224,1,0))+(IF(M109=[4]Datos!$B$224,1,0))+(IF(M110=[4]Datos!$B$224,1,0))+(IF(M111=[4]Datos!$B$224,1,0)))))</f>
        <v>0.55000000000000004</v>
      </c>
      <c r="W106" s="127" t="str">
        <f>IF(I106="","-",(IF(V106&gt;0,(IF(I106=[4]Datos!$B$212,[4]Datos!$B$212,IF(AND(I106=[4]Datos!$B$213,V106&gt;0.49),[4]Datos!$B$212,IF(AND(I106=[4]Datos!$B$214,V106&gt;0.74),[4]Datos!$B$212,IF(AND(I106=[4]Datos!$B$214,V106&lt;0.75,V106&gt;0.49),[4]Datos!$B$213,IF(AND(I106=[4]Datos!$B$215,V106&gt;0.74),[4]Datos!$B$213,IF(AND(I106=[4]Datos!$B$215,V106&lt;0.75,V106&gt;0.49),[4]Datos!$B$214,IF(AND(I106=[4]Datos!$B$216,V106&gt;0.74),[4]Datos!$B$214,IF(AND(I106=[4]Datos!$B$216,V106&lt;0.75,V106&gt;0.49),[4]Datos!$B$215,I106))))))))),I106)))</f>
        <v>Rara vez - 1</v>
      </c>
      <c r="X106" s="130">
        <f>IF(ISERROR(((IF(M106=[4]Datos!$B$225,U106,0))+(IF(M107=[4]Datos!$B$225,U107,0))+(IF(M108=[4]Datos!$B$225,U108,0))+(IF(M109=[4]Datos!$B$225,U109,0))+(IF(M110=[4]Datos!$B$225,U110,0))+(IF(M111=[4]Datos!$B$225,U111,0))+(IF(M106=[4]Datos!$B$226,U106,0))+(IF(M107=[4]Datos!$B$226,U107,0))+(IF(M108=[4]Datos!$B$226,U108,0))+(IF(M109=[4]Datos!$B$226,U109,0))+(IF(M110=[4]Datos!$B$226,U110,0))+(IF(M111=[4]Datos!$B$226,U111,0)))/((IF(M106=[4]Datos!$B$225,1,0))+(IF(M107=[4]Datos!$B$225,1,0))+(IF(M108=[4]Datos!$B$225,1,0))+(IF(M109=[4]Datos!$B$225,1,0))+(IF(M110=[4]Datos!$B$225,1,0))+(IF(M111=[4]Datos!$B$225,1,0))+(IF(M106=[4]Datos!$B$226,1,0))+(IF(M107=[4]Datos!$B$226,1,0))+(IF(M108=[4]Datos!$B$226,1,0))+(IF(M109=[4]Datos!$B$226,1,0))+(IF(M110=[4]Datos!$B$226,1,0))+(IF(M111=[4]Datos!$B$226,1,0)))),0,((IF(M106=[4]Datos!$B$225,U106,0))+(IF(M107=[4]Datos!$B$225,U107,0))+(IF(M108=[4]Datos!$B$225,U108,0))+(IF(M109=[4]Datos!$B$225,U109,0))+(IF(M110=[4]Datos!$B$225,U110,0))+(IF(M111=[4]Datos!$B$225,U111,0))+(IF(M106=[4]Datos!$B$226,U106,0))+(IF(M107=[4]Datos!$B$226,U107,0))+(IF(M108=[4]Datos!$B$226,U108,0))+(IF(M109=[4]Datos!$B$226,U109,0))+(IF(M110=[4]Datos!$B$226,U110,0))+(IF(M111=[4]Datos!$B$226,U111,0)))/((IF(M106=[4]Datos!$B$225,1,0))+(IF(M107=[4]Datos!$B$225,1,0))+(IF(M108=[4]Datos!$B$225,1,0))+(IF(M109=[4]Datos!$B$225,1,0))+(IF(M110=[4]Datos!$B$225,1,0))+(IF(M111=[4]Datos!$B$225,1,0))+(IF(M106=[4]Datos!$B$226,1,0))+(IF(M107=[4]Datos!$B$226,1,0))+(IF(M108=[4]Datos!$B$226,1,0))+(IF(M109=[4]Datos!$B$226,1,0))+(IF(M110=[4]Datos!$B$226,1,0))+(IF(M111=[4]Datos!$B$226,1,0))))</f>
        <v>0</v>
      </c>
      <c r="Y106" s="127" t="str">
        <f>IF(J106="","-",(IF(X106&gt;0,(IF(J106=[4]Datos!$B$219,[4]Datos!$B$219,IF(AND(J106=[4]Datos!$B$220,X106&gt;0.49),[4]Datos!$B$219,IF(AND(J106=[4]Datos!$B$221,X106&gt;0.74),[4]Datos!$B$219,IF(AND(J106=[4]Datos!$B$221,X106&lt;0.75,X106&gt;0.49),[4]Datos!$B$220,IF(AND(J106=[4]Datos!$B$222,X106&gt;0.74),[4]Datos!$B$220,IF(AND(J106=[4]Datos!$B$222,X106&lt;0.75,X106&gt;0.49),[4]Datos!$B$221,IF(AND(J106=[4]Datos!$B$223,X106&gt;0.74),[4]Datos!$B$221,IF(AND(J106=[4]Datos!$B$223,X106&lt;0.75,X106&gt;0.49),[4]Datos!$B$222,J106))))))))),J106)))</f>
        <v>Catastrófico - 20</v>
      </c>
      <c r="Z106" s="133" t="str">
        <f>IF(AND(W106=[4]Datos!$B$212,Y106=[4]Datos!$B$219),[4]Datos!$D$216,IF(AND(W106=[4]Datos!$B$212,Y106=[4]Datos!$B$220),[4]Datos!$E$216,IF(AND(W106=[4]Datos!$B$212,Y106=[4]Datos!$B$221),[4]Datos!$F$216,IF(AND(W106=[4]Datos!$B$213,Y106=[4]Datos!$B$219),[4]Datos!$D$215,IF(AND(W106=[4]Datos!$B$213,Y106=[4]Datos!$B$220),[4]Datos!$E$215,IF(AND(W106=[4]Datos!$B$213,Y106=[4]Datos!$B$221),[4]Datos!$F$215,IF(AND(W106=[4]Datos!$B$214,Y106=[4]Datos!$B$219),[4]Datos!$D$214,IF(AND(W106=[4]Datos!$B$214,Y106=[4]Datos!$B$220),[4]Datos!$E$214,IF(AND(W106=[4]Datos!$B$214,Y106=[4]Datos!$B$221),[4]Datos!$F$214,IF(AND(W106=[4]Datos!$B$215,Y106=[4]Datos!$B$219),[4]Datos!$D$213,IF(AND(W106=[4]Datos!$B$215,Y106=[4]Datos!$B$220),[4]Datos!$E$213,IF(AND(W106=[4]Datos!$B$215,Y106=[4]Datos!$B$221),[4]Datos!$F$213,IF(AND(W106=[4]Datos!$B$216,Y106=[4]Datos!$B$219),[4]Datos!$D$212,IF(AND(W106=[4]Datos!$B$216,Y106=[4]Datos!$B$220),[4]Datos!$E$212,IF(AND(W106=[4]Datos!$B$216,Y106=[4]Datos!$B$221),[4]Datos!$F$212,"-")))))))))))))))</f>
        <v>MODERADA 20</v>
      </c>
      <c r="AA106" s="11"/>
      <c r="AB106" s="11"/>
      <c r="AC106" s="11"/>
      <c r="AD106" s="11"/>
      <c r="AE106" s="11"/>
      <c r="AF106" s="11"/>
      <c r="AG106" s="16"/>
    </row>
    <row r="107" spans="1:33" ht="45" x14ac:dyDescent="0.25">
      <c r="A107" s="152"/>
      <c r="B107" s="128"/>
      <c r="C107" s="155"/>
      <c r="D107" s="197" t="s">
        <v>472</v>
      </c>
      <c r="E107" s="198"/>
      <c r="F107" s="182"/>
      <c r="G107" s="158"/>
      <c r="H107" s="44" t="s">
        <v>55</v>
      </c>
      <c r="I107" s="149"/>
      <c r="J107" s="149"/>
      <c r="K107" s="134"/>
      <c r="L107" s="22" t="s">
        <v>344</v>
      </c>
      <c r="M107" s="38" t="s">
        <v>47</v>
      </c>
      <c r="N107" s="20" t="s">
        <v>48</v>
      </c>
      <c r="O107" s="20" t="s">
        <v>49</v>
      </c>
      <c r="P107" s="20" t="s">
        <v>50</v>
      </c>
      <c r="Q107" s="20" t="s">
        <v>51</v>
      </c>
      <c r="R107" s="20" t="s">
        <v>50</v>
      </c>
      <c r="S107" s="20" t="s">
        <v>51</v>
      </c>
      <c r="T107" s="20" t="s">
        <v>50</v>
      </c>
      <c r="U107" s="41">
        <f>((IF(N107=[4]Datos!$B$233,15,0))/100)+((IF(O107=[4]Datos!$B$229,5,0))/100)+((IF(P107=[4]Datos!$B$233,15,0))/100)+((IF(Q107=[4]Datos!$B$231,10,0))/100)+((IF(R107=[4]Datos!$B$233,15,0))/100)+((IF(S107=[4]Datos!$B$231,10,0))/100)+((IF(T107=[4]Datos!$B$235,30,0))/100)</f>
        <v>0.4</v>
      </c>
      <c r="V107" s="131"/>
      <c r="W107" s="128"/>
      <c r="X107" s="131"/>
      <c r="Y107" s="128"/>
      <c r="Z107" s="134"/>
      <c r="AA107" s="18"/>
      <c r="AB107" s="18"/>
      <c r="AC107" s="18"/>
      <c r="AD107" s="18"/>
      <c r="AE107" s="18"/>
      <c r="AF107" s="18"/>
      <c r="AG107" s="23"/>
    </row>
    <row r="108" spans="1:33" ht="31.5" customHeight="1" x14ac:dyDescent="0.25">
      <c r="A108" s="152"/>
      <c r="B108" s="128"/>
      <c r="C108" s="155"/>
      <c r="D108" s="136" t="s">
        <v>473</v>
      </c>
      <c r="E108" s="136"/>
      <c r="F108" s="182"/>
      <c r="G108" s="158"/>
      <c r="H108" s="35" t="s">
        <v>56</v>
      </c>
      <c r="I108" s="149"/>
      <c r="J108" s="149"/>
      <c r="K108" s="134"/>
      <c r="L108" s="22"/>
      <c r="M108" s="38"/>
      <c r="N108" s="20"/>
      <c r="O108" s="20"/>
      <c r="P108" s="20"/>
      <c r="Q108" s="20"/>
      <c r="R108" s="20"/>
      <c r="S108" s="20"/>
      <c r="T108" s="20"/>
      <c r="U108" s="41">
        <f>((IF(N108=[4]Datos!$B$233,15,0))/100)+((IF(O108=[4]Datos!$B$229,5,0))/100)+((IF(P108=[4]Datos!$B$233,15,0))/100)+((IF(Q108=[4]Datos!$B$231,10,0))/100)+((IF(R108=[4]Datos!$B$233,15,0))/100)+((IF(S108=[4]Datos!$B$231,10,0))/100)+((IF(T108=[4]Datos!$B$235,30,0))/100)</f>
        <v>0</v>
      </c>
      <c r="V108" s="131"/>
      <c r="W108" s="128"/>
      <c r="X108" s="131"/>
      <c r="Y108" s="128"/>
      <c r="Z108" s="134"/>
      <c r="AA108" s="18"/>
      <c r="AB108" s="18"/>
      <c r="AC108" s="18"/>
      <c r="AD108" s="18"/>
      <c r="AE108" s="18"/>
      <c r="AF108" s="18"/>
      <c r="AG108" s="23"/>
    </row>
    <row r="109" spans="1:33" x14ac:dyDescent="0.25">
      <c r="A109" s="152"/>
      <c r="B109" s="128"/>
      <c r="C109" s="155"/>
      <c r="D109" s="136"/>
      <c r="E109" s="136"/>
      <c r="F109" s="182"/>
      <c r="G109" s="158"/>
      <c r="H109" s="35"/>
      <c r="I109" s="149"/>
      <c r="J109" s="149"/>
      <c r="K109" s="134"/>
      <c r="L109" s="22"/>
      <c r="M109" s="38"/>
      <c r="N109" s="20"/>
      <c r="O109" s="20"/>
      <c r="P109" s="20"/>
      <c r="Q109" s="20"/>
      <c r="R109" s="20"/>
      <c r="S109" s="20"/>
      <c r="T109" s="20"/>
      <c r="U109" s="41">
        <f>((IF(N109=[4]Datos!$B$233,15,0))/100)+((IF(O109=[4]Datos!$B$229,5,0))/100)+((IF(P109=[4]Datos!$B$233,15,0))/100)+((IF(Q109=[4]Datos!$B$231,10,0))/100)+((IF(R109=[4]Datos!$B$233,15,0))/100)+((IF(S109=[4]Datos!$B$231,10,0))/100)+((IF(T109=[4]Datos!$B$235,30,0))/100)</f>
        <v>0</v>
      </c>
      <c r="V109" s="131"/>
      <c r="W109" s="128"/>
      <c r="X109" s="131"/>
      <c r="Y109" s="128"/>
      <c r="Z109" s="134"/>
      <c r="AA109" s="18"/>
      <c r="AB109" s="18"/>
      <c r="AC109" s="18"/>
      <c r="AD109" s="18"/>
      <c r="AE109" s="18"/>
      <c r="AF109" s="18"/>
      <c r="AG109" s="23"/>
    </row>
    <row r="110" spans="1:33" x14ac:dyDescent="0.25">
      <c r="A110" s="152"/>
      <c r="B110" s="128"/>
      <c r="C110" s="155"/>
      <c r="D110" s="136"/>
      <c r="E110" s="136"/>
      <c r="F110" s="182"/>
      <c r="G110" s="158"/>
      <c r="H110" s="35"/>
      <c r="I110" s="149"/>
      <c r="J110" s="149"/>
      <c r="K110" s="134"/>
      <c r="L110" s="22"/>
      <c r="M110" s="38"/>
      <c r="N110" s="20"/>
      <c r="O110" s="20"/>
      <c r="P110" s="20"/>
      <c r="Q110" s="20"/>
      <c r="R110" s="20"/>
      <c r="S110" s="20"/>
      <c r="T110" s="20"/>
      <c r="U110" s="41">
        <f>((IF(N110=[4]Datos!$B$233,15,0))/100)+((IF(O110=[4]Datos!$B$229,5,0))/100)+((IF(P110=[4]Datos!$B$233,15,0))/100)+((IF(Q110=[4]Datos!$B$231,10,0))/100)+((IF(R110=[4]Datos!$B$233,15,0))/100)+((IF(S110=[4]Datos!$B$231,10,0))/100)+((IF(T110=[4]Datos!$B$235,30,0))/100)</f>
        <v>0</v>
      </c>
      <c r="V110" s="131"/>
      <c r="W110" s="128"/>
      <c r="X110" s="131"/>
      <c r="Y110" s="128"/>
      <c r="Z110" s="134"/>
      <c r="AA110" s="18"/>
      <c r="AB110" s="18"/>
      <c r="AC110" s="18"/>
      <c r="AD110" s="18"/>
      <c r="AE110" s="18"/>
      <c r="AF110" s="18"/>
      <c r="AG110" s="23"/>
    </row>
    <row r="111" spans="1:33" ht="15.75" thickBot="1" x14ac:dyDescent="0.3">
      <c r="A111" s="153"/>
      <c r="B111" s="129"/>
      <c r="C111" s="156"/>
      <c r="D111" s="137"/>
      <c r="E111" s="137"/>
      <c r="F111" s="196"/>
      <c r="G111" s="159"/>
      <c r="H111" s="36"/>
      <c r="I111" s="150"/>
      <c r="J111" s="150"/>
      <c r="K111" s="135"/>
      <c r="L111" s="49"/>
      <c r="M111" s="39"/>
      <c r="N111" s="28"/>
      <c r="O111" s="28"/>
      <c r="P111" s="28"/>
      <c r="Q111" s="28"/>
      <c r="R111" s="28"/>
      <c r="S111" s="28"/>
      <c r="T111" s="28"/>
      <c r="U111" s="42">
        <f>((IF(N111=[4]Datos!$B$233,15,0))/100)+((IF(O111=[4]Datos!$B$229,5,0))/100)+((IF(P111=[4]Datos!$B$233,15,0))/100)+((IF(Q111=[4]Datos!$B$231,10,0))/100)+((IF(R111=[4]Datos!$B$233,15,0))/100)+((IF(S111=[4]Datos!$B$231,10,0))/100)+((IF(T111=[4]Datos!$B$235,30,0))/100)</f>
        <v>0</v>
      </c>
      <c r="V111" s="132"/>
      <c r="W111" s="129"/>
      <c r="X111" s="132"/>
      <c r="Y111" s="129"/>
      <c r="Z111" s="135"/>
      <c r="AA111" s="26"/>
      <c r="AB111" s="26"/>
      <c r="AC111" s="26"/>
      <c r="AD111" s="26"/>
      <c r="AE111" s="26"/>
      <c r="AF111" s="26"/>
      <c r="AG111" s="30"/>
    </row>
    <row r="112" spans="1:33" ht="45" x14ac:dyDescent="0.25">
      <c r="A112" s="151" t="s">
        <v>532</v>
      </c>
      <c r="B112" s="127"/>
      <c r="C112" s="154" t="s">
        <v>539</v>
      </c>
      <c r="D112" s="194" t="s">
        <v>474</v>
      </c>
      <c r="E112" s="195"/>
      <c r="F112" s="185" t="s">
        <v>162</v>
      </c>
      <c r="G112" s="147" t="s">
        <v>163</v>
      </c>
      <c r="H112" s="43" t="s">
        <v>44</v>
      </c>
      <c r="I112" s="148" t="s">
        <v>120</v>
      </c>
      <c r="J112" s="148" t="s">
        <v>46</v>
      </c>
      <c r="K112" s="133" t="str">
        <f>IF(AND(I112=[4]Datos!$B$212,J112=[4]Datos!$B$219),[4]Datos!$D$216,IF(AND(I112=[4]Datos!$B$212,J112=[4]Datos!$B$220),[4]Datos!$E$216,IF(AND(I112=[4]Datos!$B$212,J112=[4]Datos!$B$221),[4]Datos!$F$216,IF(AND(I112=[4]Datos!$B$213,J112=[4]Datos!$B$219),[4]Datos!$D$215,IF(AND(I112=[4]Datos!$B$213,J112=[4]Datos!$B$220),[4]Datos!$E$215,IF(AND(I112=[4]Datos!$B$213,J112=[4]Datos!$B$221),[4]Datos!$F$215,IF(AND(I112=[4]Datos!$B$214,J112=[4]Datos!$B$219),[4]Datos!$D$214,IF(AND(I112=[4]Datos!$B$214,J112=[4]Datos!$B$220),[4]Datos!$E$214,IF(AND(I112=[4]Datos!$B$214,J112=[4]Datos!$B$221),[4]Datos!$F$214,IF(AND(I112=[4]Datos!$B$215,J112=[4]Datos!$B$219),[4]Datos!$D$213,IF(AND(I112=[4]Datos!$B$215,J112=[4]Datos!$B$220),[4]Datos!$E$213,IF(AND(I112=[4]Datos!$B$215,J112=[4]Datos!$B$221),[4]Datos!$F$213,IF(AND(I112=[4]Datos!$B$216,J112=[4]Datos!$B$219),[4]Datos!$D$212,IF(AND(I112=[4]Datos!$B$216,J112=[4]Datos!$B$220),[4]Datos!$E$212,IF(AND(I112=[4]Datos!$B$216,J112=[4]Datos!$B$221),[4]Datos!$F$212,"-")))))))))))))))</f>
        <v>ALTA 40</v>
      </c>
      <c r="L112" s="15" t="s">
        <v>164</v>
      </c>
      <c r="M112" s="37" t="s">
        <v>47</v>
      </c>
      <c r="N112" s="13" t="s">
        <v>48</v>
      </c>
      <c r="O112" s="13" t="s">
        <v>49</v>
      </c>
      <c r="P112" s="13" t="s">
        <v>50</v>
      </c>
      <c r="Q112" s="13" t="s">
        <v>51</v>
      </c>
      <c r="R112" s="13" t="s">
        <v>48</v>
      </c>
      <c r="S112" s="13" t="s">
        <v>51</v>
      </c>
      <c r="T112" s="13" t="s">
        <v>52</v>
      </c>
      <c r="U112" s="40">
        <f>((IF(N112=[4]Datos!$B$233,15,0))/100)+((IF(O112=[4]Datos!$B$229,5,0))/100)+((IF(P112=[4]Datos!$B$233,15,0))/100)+((IF(Q112=[4]Datos!$B$231,10,0))/100)+((IF(R112=[4]Datos!$B$233,15,0))/100)+((IF(S112=[4]Datos!$B$231,10,0))/100)+((IF(T112=[4]Datos!$B$235,30,0))/100)</f>
        <v>0.85000000000000009</v>
      </c>
      <c r="V112" s="130">
        <f>IF(ISERROR(((IF(M112=[4]Datos!$B$224,U112,0))+(IF(M113=[4]Datos!$B$224,U113,0))+(IF(M114=[4]Datos!$B$224,U114,0))+(IF(M115=[4]Datos!$B$224,U115,0))+(IF(M116=[4]Datos!$B$224,U116,0))+(IF(M117=[4]Datos!$B$224,U117,0)))/((IF(M112=[4]Datos!$B$224,1,0))+(IF(M113=[4]Datos!$B$224,1,0))+(IF(M114=[4]Datos!$B$224,1,0))+(IF(M115=[4]Datos!$B$224,1,0))+(IF(M116=[4]Datos!$B$224,1,0))+(IF(M117=[4]Datos!$B$224,1,0)))),0,(((IF(M112=[4]Datos!$B$224,U112,0))+(IF(M113=[4]Datos!$B$224,U113,0))+(IF(M114=[4]Datos!$B$224,U114,0))+(IF(M115=[4]Datos!$B$224,U115,0))+(IF(M116=[4]Datos!$B$224,U116,0))+(IF(M117=[4]Datos!$B$224,U117,0)))/((IF(M112=[4]Datos!$B$224,1,0))+(IF(M113=[4]Datos!$B$224,1,0))+(IF(M114=[4]Datos!$B$224,1,0))+(IF(M115=[4]Datos!$B$224,1,0))+(IF(M116=[4]Datos!$B$224,1,0))+(IF(M117=[4]Datos!$B$224,1,0)))))</f>
        <v>0.85000000000000009</v>
      </c>
      <c r="W112" s="127" t="str">
        <f>IF(I112="","-",(IF(V112&gt;0,(IF(I112=[4]Datos!$B$212,[4]Datos!$B$212,IF(AND(I112=[4]Datos!$B$213,V112&gt;0.49),[4]Datos!$B$212,IF(AND(I112=[4]Datos!$B$214,V112&gt;0.74),[4]Datos!$B$212,IF(AND(I112=[4]Datos!$B$214,V112&lt;0.75,V112&gt;0.49),[4]Datos!$B$213,IF(AND(I112=[4]Datos!$B$215,V112&gt;0.74),[4]Datos!$B$213,IF(AND(I112=[4]Datos!$B$215,V112&lt;0.75,V112&gt;0.49),[4]Datos!$B$214,IF(AND(I112=[4]Datos!$B$216,V112&gt;0.74),[4]Datos!$B$214,IF(AND(I112=[4]Datos!$B$216,V112&lt;0.75,V112&gt;0.49),[4]Datos!$B$215,I112))))))))),I112)))</f>
        <v>Rara vez - 1</v>
      </c>
      <c r="X112" s="130">
        <f>IF(ISERROR(((IF(M112=[4]Datos!$B$225,U112,0))+(IF(M113=[4]Datos!$B$225,U113,0))+(IF(M114=[4]Datos!$B$225,U114,0))+(IF(M115=[4]Datos!$B$225,U115,0))+(IF(M116=[4]Datos!$B$225,U116,0))+(IF(M117=[4]Datos!$B$225,U117,0))+(IF(M112=[4]Datos!$B$226,U112,0))+(IF(M113=[4]Datos!$B$226,U113,0))+(IF(M114=[4]Datos!$B$226,U114,0))+(IF(M115=[4]Datos!$B$226,U115,0))+(IF(M116=[4]Datos!$B$226,U116,0))+(IF(M117=[4]Datos!$B$226,U117,0)))/((IF(M112=[4]Datos!$B$225,1,0))+(IF(M113=[4]Datos!$B$225,1,0))+(IF(M114=[4]Datos!$B$225,1,0))+(IF(M115=[4]Datos!$B$225,1,0))+(IF(M116=[4]Datos!$B$225,1,0))+(IF(M117=[4]Datos!$B$225,1,0))+(IF(M112=[4]Datos!$B$226,1,0))+(IF(M113=[4]Datos!$B$226,1,0))+(IF(M114=[4]Datos!$B$226,1,0))+(IF(M115=[4]Datos!$B$226,1,0))+(IF(M116=[4]Datos!$B$226,1,0))+(IF(M117=[4]Datos!$B$226,1,0)))),0,((IF(M112=[4]Datos!$B$225,U112,0))+(IF(M113=[4]Datos!$B$225,U113,0))+(IF(M114=[4]Datos!$B$225,U114,0))+(IF(M115=[4]Datos!$B$225,U115,0))+(IF(M116=[4]Datos!$B$225,U116,0))+(IF(M117=[4]Datos!$B$225,U117,0))+(IF(M112=[4]Datos!$B$226,U112,0))+(IF(M113=[4]Datos!$B$226,U113,0))+(IF(M114=[4]Datos!$B$226,U114,0))+(IF(M115=[4]Datos!$B$226,U115,0))+(IF(M116=[4]Datos!$B$226,U116,0))+(IF(M117=[4]Datos!$B$226,U117,0)))/((IF(M112=[4]Datos!$B$225,1,0))+(IF(M113=[4]Datos!$B$225,1,0))+(IF(M114=[4]Datos!$B$225,1,0))+(IF(M115=[4]Datos!$B$225,1,0))+(IF(M116=[4]Datos!$B$225,1,0))+(IF(M117=[4]Datos!$B$225,1,0))+(IF(M112=[4]Datos!$B$226,1,0))+(IF(M113=[4]Datos!$B$226,1,0))+(IF(M114=[4]Datos!$B$226,1,0))+(IF(M115=[4]Datos!$B$226,1,0))+(IF(M116=[4]Datos!$B$226,1,0))+(IF(M117=[4]Datos!$B$226,1,0))))</f>
        <v>0.4</v>
      </c>
      <c r="Y112" s="127" t="str">
        <f>IF(J112="","-",(IF(X112&gt;0,(IF(J112=[4]Datos!$B$219,[4]Datos!$B$219,IF(AND(J112=[4]Datos!$B$220,X112&gt;0.49),[4]Datos!$B$219,IF(AND(J112=[4]Datos!$B$221,X112&gt;0.74),[4]Datos!$B$219,IF(AND(J112=[4]Datos!$B$221,X112&lt;0.75,X112&gt;0.49),[4]Datos!$B$220,IF(AND(J112=[4]Datos!$B$222,X112&gt;0.74),[4]Datos!$B$220,IF(AND(J112=[4]Datos!$B$222,X112&lt;0.75,X112&gt;0.49),[4]Datos!$B$221,IF(AND(J112=[4]Datos!$B$223,X112&gt;0.74),[4]Datos!$B$221,IF(AND(J112=[4]Datos!$B$223,X112&lt;0.75,X112&gt;0.49),[4]Datos!$B$222,J112))))))))),J112)))</f>
        <v>Catastrófico - 20</v>
      </c>
      <c r="Z112" s="133" t="str">
        <f>IF(AND(W112=[4]Datos!$B$212,Y112=[4]Datos!$B$219),[4]Datos!$D$216,IF(AND(W112=[4]Datos!$B$212,Y112=[4]Datos!$B$220),[4]Datos!$E$216,IF(AND(W112=[4]Datos!$B$212,Y112=[4]Datos!$B$221),[4]Datos!$F$216,IF(AND(W112=[4]Datos!$B$213,Y112=[4]Datos!$B$219),[4]Datos!$D$215,IF(AND(W112=[4]Datos!$B$213,Y112=[4]Datos!$B$220),[4]Datos!$E$215,IF(AND(W112=[4]Datos!$B$213,Y112=[4]Datos!$B$221),[4]Datos!$F$215,IF(AND(W112=[4]Datos!$B$214,Y112=[4]Datos!$B$219),[4]Datos!$D$214,IF(AND(W112=[4]Datos!$B$214,Y112=[4]Datos!$B$220),[4]Datos!$E$214,IF(AND(W112=[4]Datos!$B$214,Y112=[4]Datos!$B$221),[4]Datos!$F$214,IF(AND(W112=[4]Datos!$B$215,Y112=[4]Datos!$B$219),[4]Datos!$D$213,IF(AND(W112=[4]Datos!$B$215,Y112=[4]Datos!$B$220),[4]Datos!$E$213,IF(AND(W112=[4]Datos!$B$215,Y112=[4]Datos!$B$221),[4]Datos!$F$213,IF(AND(W112=[4]Datos!$B$216,Y112=[4]Datos!$B$219),[4]Datos!$D$212,IF(AND(W112=[4]Datos!$B$216,Y112=[4]Datos!$B$220),[4]Datos!$E$212,IF(AND(W112=[4]Datos!$B$216,Y112=[4]Datos!$B$221),[4]Datos!$F$212,"-")))))))))))))))</f>
        <v>MODERADA 20</v>
      </c>
      <c r="AA112" s="11"/>
      <c r="AB112" s="11"/>
      <c r="AC112" s="11"/>
      <c r="AD112" s="11"/>
      <c r="AE112" s="11"/>
      <c r="AF112" s="11"/>
      <c r="AG112" s="16"/>
    </row>
    <row r="113" spans="1:33" ht="45" x14ac:dyDescent="0.25">
      <c r="A113" s="152"/>
      <c r="B113" s="128"/>
      <c r="C113" s="155"/>
      <c r="D113" s="192" t="s">
        <v>475</v>
      </c>
      <c r="E113" s="193"/>
      <c r="F113" s="182"/>
      <c r="G113" s="136"/>
      <c r="H113" s="35" t="s">
        <v>54</v>
      </c>
      <c r="I113" s="149"/>
      <c r="J113" s="149"/>
      <c r="K113" s="134"/>
      <c r="L113" s="22" t="s">
        <v>165</v>
      </c>
      <c r="M113" s="38" t="s">
        <v>60</v>
      </c>
      <c r="N113" s="20" t="s">
        <v>48</v>
      </c>
      <c r="O113" s="20" t="s">
        <v>49</v>
      </c>
      <c r="P113" s="20" t="s">
        <v>50</v>
      </c>
      <c r="Q113" s="20" t="s">
        <v>51</v>
      </c>
      <c r="R113" s="20" t="s">
        <v>50</v>
      </c>
      <c r="S113" s="20" t="s">
        <v>51</v>
      </c>
      <c r="T113" s="20" t="s">
        <v>50</v>
      </c>
      <c r="U113" s="41">
        <f>((IF(N113=[4]Datos!$B$233,15,0))/100)+((IF(O113=[4]Datos!$B$229,5,0))/100)+((IF(P113=[4]Datos!$B$233,15,0))/100)+((IF(Q113=[4]Datos!$B$231,10,0))/100)+((IF(R113=[4]Datos!$B$233,15,0))/100)+((IF(S113=[4]Datos!$B$231,10,0))/100)+((IF(T113=[4]Datos!$B$235,30,0))/100)</f>
        <v>0.4</v>
      </c>
      <c r="V113" s="131"/>
      <c r="W113" s="128"/>
      <c r="X113" s="131"/>
      <c r="Y113" s="128"/>
      <c r="Z113" s="134"/>
      <c r="AA113" s="18"/>
      <c r="AB113" s="18"/>
      <c r="AC113" s="18"/>
      <c r="AD113" s="18"/>
      <c r="AE113" s="18"/>
      <c r="AF113" s="18"/>
      <c r="AG113" s="23"/>
    </row>
    <row r="114" spans="1:33" x14ac:dyDescent="0.25">
      <c r="A114" s="152"/>
      <c r="B114" s="128"/>
      <c r="C114" s="155"/>
      <c r="D114" s="192"/>
      <c r="E114" s="193"/>
      <c r="F114" s="182"/>
      <c r="G114" s="136"/>
      <c r="H114" s="35" t="s">
        <v>62</v>
      </c>
      <c r="I114" s="149"/>
      <c r="J114" s="149"/>
      <c r="K114" s="134"/>
      <c r="L114" s="22"/>
      <c r="M114" s="38"/>
      <c r="N114" s="20"/>
      <c r="O114" s="20"/>
      <c r="P114" s="20"/>
      <c r="Q114" s="20"/>
      <c r="R114" s="20"/>
      <c r="S114" s="20"/>
      <c r="T114" s="20"/>
      <c r="U114" s="41">
        <f>((IF(N114=[4]Datos!$B$233,15,0))/100)+((IF(O114=[4]Datos!$B$229,5,0))/100)+((IF(P114=[4]Datos!$B$233,15,0))/100)+((IF(Q114=[4]Datos!$B$231,10,0))/100)+((IF(R114=[4]Datos!$B$233,15,0))/100)+((IF(S114=[4]Datos!$B$231,10,0))/100)+((IF(T114=[4]Datos!$B$235,30,0))/100)</f>
        <v>0</v>
      </c>
      <c r="V114" s="131"/>
      <c r="W114" s="128"/>
      <c r="X114" s="131"/>
      <c r="Y114" s="128"/>
      <c r="Z114" s="134"/>
      <c r="AA114" s="18"/>
      <c r="AB114" s="18"/>
      <c r="AC114" s="18"/>
      <c r="AD114" s="18"/>
      <c r="AE114" s="18"/>
      <c r="AF114" s="18"/>
      <c r="AG114" s="23"/>
    </row>
    <row r="115" spans="1:33" x14ac:dyDescent="0.25">
      <c r="A115" s="152"/>
      <c r="B115" s="128"/>
      <c r="C115" s="155"/>
      <c r="D115" s="136"/>
      <c r="E115" s="136"/>
      <c r="F115" s="182"/>
      <c r="G115" s="136"/>
      <c r="H115" s="35" t="s">
        <v>56</v>
      </c>
      <c r="I115" s="149"/>
      <c r="J115" s="149"/>
      <c r="K115" s="134"/>
      <c r="L115" s="22"/>
      <c r="M115" s="38"/>
      <c r="N115" s="20"/>
      <c r="O115" s="20"/>
      <c r="P115" s="20"/>
      <c r="Q115" s="20"/>
      <c r="R115" s="20"/>
      <c r="S115" s="20"/>
      <c r="T115" s="20"/>
      <c r="U115" s="41">
        <f>((IF(N115=[4]Datos!$B$233,15,0))/100)+((IF(O115=[4]Datos!$B$229,5,0))/100)+((IF(P115=[4]Datos!$B$233,15,0))/100)+((IF(Q115=[4]Datos!$B$231,10,0))/100)+((IF(R115=[4]Datos!$B$233,15,0))/100)+((IF(S115=[4]Datos!$B$231,10,0))/100)+((IF(T115=[4]Datos!$B$235,30,0))/100)</f>
        <v>0</v>
      </c>
      <c r="V115" s="131"/>
      <c r="W115" s="128"/>
      <c r="X115" s="131"/>
      <c r="Y115" s="128"/>
      <c r="Z115" s="134"/>
      <c r="AA115" s="18"/>
      <c r="AB115" s="18"/>
      <c r="AC115" s="18"/>
      <c r="AD115" s="18"/>
      <c r="AE115" s="18"/>
      <c r="AF115" s="18"/>
      <c r="AG115" s="23"/>
    </row>
    <row r="116" spans="1:33" x14ac:dyDescent="0.25">
      <c r="A116" s="152"/>
      <c r="B116" s="128"/>
      <c r="C116" s="155"/>
      <c r="D116" s="136"/>
      <c r="E116" s="136"/>
      <c r="F116" s="182"/>
      <c r="G116" s="136"/>
      <c r="H116" s="35" t="s">
        <v>166</v>
      </c>
      <c r="I116" s="149"/>
      <c r="J116" s="149"/>
      <c r="K116" s="134"/>
      <c r="L116" s="22"/>
      <c r="M116" s="38"/>
      <c r="N116" s="20"/>
      <c r="O116" s="20"/>
      <c r="P116" s="20"/>
      <c r="Q116" s="20"/>
      <c r="R116" s="20"/>
      <c r="S116" s="20"/>
      <c r="T116" s="20"/>
      <c r="U116" s="41">
        <f>((IF(N116=[4]Datos!$B$233,15,0))/100)+((IF(O116=[4]Datos!$B$229,5,0))/100)+((IF(P116=[4]Datos!$B$233,15,0))/100)+((IF(Q116=[4]Datos!$B$231,10,0))/100)+((IF(R116=[4]Datos!$B$233,15,0))/100)+((IF(S116=[4]Datos!$B$231,10,0))/100)+((IF(T116=[4]Datos!$B$235,30,0))/100)</f>
        <v>0</v>
      </c>
      <c r="V116" s="131"/>
      <c r="W116" s="128"/>
      <c r="X116" s="131"/>
      <c r="Y116" s="128"/>
      <c r="Z116" s="134"/>
      <c r="AA116" s="18"/>
      <c r="AB116" s="18"/>
      <c r="AC116" s="18"/>
      <c r="AD116" s="18"/>
      <c r="AE116" s="18"/>
      <c r="AF116" s="18"/>
      <c r="AG116" s="23"/>
    </row>
    <row r="117" spans="1:33" ht="15.75" thickBot="1" x14ac:dyDescent="0.3">
      <c r="A117" s="153"/>
      <c r="B117" s="129"/>
      <c r="C117" s="156"/>
      <c r="D117" s="137"/>
      <c r="E117" s="137"/>
      <c r="F117" s="196"/>
      <c r="G117" s="137"/>
      <c r="H117" s="36"/>
      <c r="I117" s="150"/>
      <c r="J117" s="150"/>
      <c r="K117" s="135"/>
      <c r="L117" s="49"/>
      <c r="M117" s="39"/>
      <c r="N117" s="28"/>
      <c r="O117" s="28"/>
      <c r="P117" s="28"/>
      <c r="Q117" s="28"/>
      <c r="R117" s="28"/>
      <c r="S117" s="28"/>
      <c r="T117" s="28"/>
      <c r="U117" s="42">
        <f>((IF(N117=[4]Datos!$B$233,15,0))/100)+((IF(O117=[4]Datos!$B$229,5,0))/100)+((IF(P117=[4]Datos!$B$233,15,0))/100)+((IF(Q117=[4]Datos!$B$231,10,0))/100)+((IF(R117=[4]Datos!$B$233,15,0))/100)+((IF(S117=[4]Datos!$B$231,10,0))/100)+((IF(T117=[4]Datos!$B$235,30,0))/100)</f>
        <v>0</v>
      </c>
      <c r="V117" s="132"/>
      <c r="W117" s="129"/>
      <c r="X117" s="132"/>
      <c r="Y117" s="129"/>
      <c r="Z117" s="135"/>
      <c r="AA117" s="26"/>
      <c r="AB117" s="26"/>
      <c r="AC117" s="26"/>
      <c r="AD117" s="26"/>
      <c r="AE117" s="26"/>
      <c r="AF117" s="26"/>
      <c r="AG117" s="30"/>
    </row>
    <row r="118" spans="1:33" ht="39" customHeight="1" x14ac:dyDescent="0.25">
      <c r="A118" s="151" t="s">
        <v>532</v>
      </c>
      <c r="B118" s="127"/>
      <c r="C118" s="154" t="s">
        <v>539</v>
      </c>
      <c r="D118" s="187" t="s">
        <v>476</v>
      </c>
      <c r="E118" s="188"/>
      <c r="F118" s="189" t="s">
        <v>167</v>
      </c>
      <c r="G118" s="147" t="s">
        <v>168</v>
      </c>
      <c r="H118" s="45" t="s">
        <v>62</v>
      </c>
      <c r="I118" s="148" t="s">
        <v>160</v>
      </c>
      <c r="J118" s="148" t="s">
        <v>46</v>
      </c>
      <c r="K118" s="133" t="str">
        <f>IF(AND(I118=[4]Datos!$B$212,J118=[4]Datos!$B$219),[4]Datos!$D$216,IF(AND(I118=[4]Datos!$B$212,J118=[4]Datos!$B$220),[4]Datos!$E$216,IF(AND(I118=[4]Datos!$B$212,J118=[4]Datos!$B$221),[4]Datos!$F$216,IF(AND(I118=[4]Datos!$B$213,J118=[4]Datos!$B$219),[4]Datos!$D$215,IF(AND(I118=[4]Datos!$B$213,J118=[4]Datos!$B$220),[4]Datos!$E$215,IF(AND(I118=[4]Datos!$B$213,J118=[4]Datos!$B$221),[4]Datos!$F$215,IF(AND(I118=[4]Datos!$B$214,J118=[4]Datos!$B$219),[4]Datos!$D$214,IF(AND(I118=[4]Datos!$B$214,J118=[4]Datos!$B$220),[4]Datos!$E$214,IF(AND(I118=[4]Datos!$B$214,J118=[4]Datos!$B$221),[4]Datos!$F$214,IF(AND(I118=[4]Datos!$B$215,J118=[4]Datos!$B$219),[4]Datos!$D$213,IF(AND(I118=[4]Datos!$B$215,J118=[4]Datos!$B$220),[4]Datos!$E$213,IF(AND(I118=[4]Datos!$B$215,J118=[4]Datos!$B$221),[4]Datos!$F$213,IF(AND(I118=[4]Datos!$B$216,J118=[4]Datos!$B$219),[4]Datos!$D$212,IF(AND(I118=[4]Datos!$B$216,J118=[4]Datos!$B$220),[4]Datos!$E$212,IF(AND(I118=[4]Datos!$B$216,J118=[4]Datos!$B$221),[4]Datos!$F$212,"-")))))))))))))))</f>
        <v>MODERADA 20</v>
      </c>
      <c r="L118" s="15" t="s">
        <v>169</v>
      </c>
      <c r="M118" s="37" t="s">
        <v>47</v>
      </c>
      <c r="N118" s="13" t="s">
        <v>48</v>
      </c>
      <c r="O118" s="13" t="s">
        <v>49</v>
      </c>
      <c r="P118" s="13" t="s">
        <v>50</v>
      </c>
      <c r="Q118" s="13" t="s">
        <v>51</v>
      </c>
      <c r="R118" s="13" t="s">
        <v>48</v>
      </c>
      <c r="S118" s="13" t="s">
        <v>51</v>
      </c>
      <c r="T118" s="13" t="s">
        <v>52</v>
      </c>
      <c r="U118" s="40">
        <f>((IF(N118=[4]Datos!$B$233,15,0))/100)+((IF(O118=[4]Datos!$B$229,5,0))/100)+((IF(P118=[4]Datos!$B$233,15,0))/100)+((IF(Q118=[4]Datos!$B$231,10,0))/100)+((IF(R118=[4]Datos!$B$233,15,0))/100)+((IF(S118=[4]Datos!$B$231,10,0))/100)+((IF(T118=[4]Datos!$B$235,30,0))/100)</f>
        <v>0.85000000000000009</v>
      </c>
      <c r="V118" s="130">
        <f>IF(ISERROR(((IF(M118=[4]Datos!$B$224,U118,0))+(IF(M119=[4]Datos!$B$224,U119,0))+(IF(M120=[4]Datos!$B$224,U120,0))+(IF(M121=[4]Datos!$B$224,U121,0))+(IF(M122=[4]Datos!$B$224,U122,0))+(IF(M123=[4]Datos!$B$224,U123,0)))/((IF(M118=[4]Datos!$B$224,1,0))+(IF(M119=[4]Datos!$B$224,1,0))+(IF(M120=[4]Datos!$B$224,1,0))+(IF(M121=[4]Datos!$B$224,1,0))+(IF(M122=[4]Datos!$B$224,1,0))+(IF(M123=[4]Datos!$B$224,1,0)))),0,(((IF(M118=[4]Datos!$B$224,U118,0))+(IF(M119=[4]Datos!$B$224,U119,0))+(IF(M120=[4]Datos!$B$224,U120,0))+(IF(M121=[4]Datos!$B$224,U121,0))+(IF(M122=[4]Datos!$B$224,U122,0))+(IF(M123=[4]Datos!$B$224,U123,0)))/((IF(M118=[4]Datos!$B$224,1,0))+(IF(M119=[4]Datos!$B$224,1,0))+(IF(M120=[4]Datos!$B$224,1,0))+(IF(M121=[4]Datos!$B$224,1,0))+(IF(M122=[4]Datos!$B$224,1,0))+(IF(M123=[4]Datos!$B$224,1,0)))))</f>
        <v>0.77500000000000002</v>
      </c>
      <c r="W118" s="127" t="str">
        <f>IF(I118="","-",(IF(V118&gt;0,(IF(I118=[4]Datos!$B$212,[4]Datos!$B$212,IF(AND(I118=[4]Datos!$B$213,V118&gt;0.49),[4]Datos!$B$212,IF(AND(I118=[4]Datos!$B$214,V118&gt;0.74),[4]Datos!$B$212,IF(AND(I118=[4]Datos!$B$214,V118&lt;0.75,V118&gt;0.49),[4]Datos!$B$213,IF(AND(I118=[4]Datos!$B$215,V118&gt;0.74),[4]Datos!$B$213,IF(AND(I118=[4]Datos!$B$215,V118&lt;0.75,V118&gt;0.49),[4]Datos!$B$214,IF(AND(I118=[4]Datos!$B$216,V118&gt;0.74),[4]Datos!$B$214,IF(AND(I118=[4]Datos!$B$216,V118&lt;0.75,V118&gt;0.49),[4]Datos!$B$215,I118))))))))),I118)))</f>
        <v>Rara vez - 1</v>
      </c>
      <c r="X118" s="130">
        <f>IF(ISERROR(((IF(M118=[4]Datos!$B$225,U118,0))+(IF(M119=[4]Datos!$B$225,U119,0))+(IF(M120=[4]Datos!$B$225,U120,0))+(IF(M121=[4]Datos!$B$225,U121,0))+(IF(M122=[4]Datos!$B$225,U122,0))+(IF(M123=[4]Datos!$B$225,U123,0))+(IF(M118=[4]Datos!$B$226,U118,0))+(IF(M119=[4]Datos!$B$226,U119,0))+(IF(M120=[4]Datos!$B$226,U120,0))+(IF(M121=[4]Datos!$B$226,U121,0))+(IF(M122=[4]Datos!$B$226,U122,0))+(IF(M123=[4]Datos!$B$226,U123,0)))/((IF(M118=[4]Datos!$B$225,1,0))+(IF(M119=[4]Datos!$B$225,1,0))+(IF(M120=[4]Datos!$B$225,1,0))+(IF(M121=[4]Datos!$B$225,1,0))+(IF(M122=[4]Datos!$B$225,1,0))+(IF(M123=[4]Datos!$B$225,1,0))+(IF(M118=[4]Datos!$B$226,1,0))+(IF(M119=[4]Datos!$B$226,1,0))+(IF(M120=[4]Datos!$B$226,1,0))+(IF(M121=[4]Datos!$B$226,1,0))+(IF(M122=[4]Datos!$B$226,1,0))+(IF(M123=[4]Datos!$B$226,1,0)))),0,((IF(M118=[4]Datos!$B$225,U118,0))+(IF(M119=[4]Datos!$B$225,U119,0))+(IF(M120=[4]Datos!$B$225,U120,0))+(IF(M121=[4]Datos!$B$225,U121,0))+(IF(M122=[4]Datos!$B$225,U122,0))+(IF(M123=[4]Datos!$B$225,U123,0))+(IF(M118=[4]Datos!$B$226,U118,0))+(IF(M119=[4]Datos!$B$226,U119,0))+(IF(M120=[4]Datos!$B$226,U120,0))+(IF(M121=[4]Datos!$B$226,U121,0))+(IF(M122=[4]Datos!$B$226,U122,0))+(IF(M123=[4]Datos!$B$226,U123,0)))/((IF(M118=[4]Datos!$B$225,1,0))+(IF(M119=[4]Datos!$B$225,1,0))+(IF(M120=[4]Datos!$B$225,1,0))+(IF(M121=[4]Datos!$B$225,1,0))+(IF(M122=[4]Datos!$B$225,1,0))+(IF(M123=[4]Datos!$B$225,1,0))+(IF(M118=[4]Datos!$B$226,1,0))+(IF(M119=[4]Datos!$B$226,1,0))+(IF(M120=[4]Datos!$B$226,1,0))+(IF(M121=[4]Datos!$B$226,1,0))+(IF(M122=[4]Datos!$B$226,1,0))+(IF(M123=[4]Datos!$B$226,1,0))))</f>
        <v>0</v>
      </c>
      <c r="Y118" s="127" t="str">
        <f>IF(J118="","-",(IF(X118&gt;0,(IF(J118=[4]Datos!$B$219,[4]Datos!$B$219,IF(AND(J118=[4]Datos!$B$220,X118&gt;0.49),[4]Datos!$B$219,IF(AND(J118=[4]Datos!$B$221,X118&gt;0.74),[4]Datos!$B$219,IF(AND(J118=[4]Datos!$B$221,X118&lt;0.75,X118&gt;0.49),[4]Datos!$B$220,IF(AND(J118=[4]Datos!$B$222,X118&gt;0.74),[4]Datos!$B$220,IF(AND(J118=[4]Datos!$B$222,X118&lt;0.75,X118&gt;0.49),[4]Datos!$B$221,IF(AND(J118=[4]Datos!$B$223,X118&gt;0.74),[4]Datos!$B$221,IF(AND(J118=[4]Datos!$B$223,X118&lt;0.75,X118&gt;0.49),[4]Datos!$B$222,J118))))))))),J118)))</f>
        <v>Catastrófico - 20</v>
      </c>
      <c r="Z118" s="133" t="str">
        <f>IF(AND(W118=[4]Datos!$B$212,Y118=[4]Datos!$B$219),[4]Datos!$D$216,IF(AND(W118=[4]Datos!$B$212,Y118=[4]Datos!$B$220),[4]Datos!$E$216,IF(AND(W118=[4]Datos!$B$212,Y118=[4]Datos!$B$221),[4]Datos!$F$216,IF(AND(W118=[4]Datos!$B$213,Y118=[4]Datos!$B$219),[4]Datos!$D$215,IF(AND(W118=[4]Datos!$B$213,Y118=[4]Datos!$B$220),[4]Datos!$E$215,IF(AND(W118=[4]Datos!$B$213,Y118=[4]Datos!$B$221),[4]Datos!$F$215,IF(AND(W118=[4]Datos!$B$214,Y118=[4]Datos!$B$219),[4]Datos!$D$214,IF(AND(W118=[4]Datos!$B$214,Y118=[4]Datos!$B$220),[4]Datos!$E$214,IF(AND(W118=[4]Datos!$B$214,Y118=[4]Datos!$B$221),[4]Datos!$F$214,IF(AND(W118=[4]Datos!$B$215,Y118=[4]Datos!$B$219),[4]Datos!$D$213,IF(AND(W118=[4]Datos!$B$215,Y118=[4]Datos!$B$220),[4]Datos!$E$213,IF(AND(W118=[4]Datos!$B$215,Y118=[4]Datos!$B$221),[4]Datos!$F$213,IF(AND(W118=[4]Datos!$B$216,Y118=[4]Datos!$B$219),[4]Datos!$D$212,IF(AND(W118=[4]Datos!$B$216,Y118=[4]Datos!$B$220),[4]Datos!$E$212,IF(AND(W118=[4]Datos!$B$216,Y118=[4]Datos!$B$221),[4]Datos!$F$212,"-")))))))))))))))</f>
        <v>MODERADA 20</v>
      </c>
      <c r="AA118" s="11"/>
      <c r="AB118" s="11"/>
      <c r="AC118" s="11"/>
      <c r="AD118" s="11"/>
      <c r="AE118" s="11"/>
      <c r="AF118" s="11"/>
      <c r="AG118" s="16"/>
    </row>
    <row r="119" spans="1:33" ht="36" customHeight="1" x14ac:dyDescent="0.25">
      <c r="A119" s="152"/>
      <c r="B119" s="128"/>
      <c r="C119" s="155"/>
      <c r="D119" s="181" t="s">
        <v>477</v>
      </c>
      <c r="E119" s="182"/>
      <c r="F119" s="190"/>
      <c r="G119" s="136"/>
      <c r="H119" s="44" t="s">
        <v>55</v>
      </c>
      <c r="I119" s="149"/>
      <c r="J119" s="149"/>
      <c r="K119" s="134"/>
      <c r="L119" s="22" t="s">
        <v>345</v>
      </c>
      <c r="M119" s="38" t="s">
        <v>47</v>
      </c>
      <c r="N119" s="20" t="s">
        <v>48</v>
      </c>
      <c r="O119" s="20" t="s">
        <v>49</v>
      </c>
      <c r="P119" s="20" t="s">
        <v>50</v>
      </c>
      <c r="Q119" s="20" t="s">
        <v>51</v>
      </c>
      <c r="R119" s="20" t="s">
        <v>50</v>
      </c>
      <c r="S119" s="20" t="s">
        <v>51</v>
      </c>
      <c r="T119" s="20" t="s">
        <v>52</v>
      </c>
      <c r="U119" s="41">
        <f>((IF(N119=[4]Datos!$B$233,15,0))/100)+((IF(O119=[4]Datos!$B$229,5,0))/100)+((IF(P119=[4]Datos!$B$233,15,0))/100)+((IF(Q119=[4]Datos!$B$231,10,0))/100)+((IF(R119=[4]Datos!$B$233,15,0))/100)+((IF(S119=[4]Datos!$B$231,10,0))/100)+((IF(T119=[4]Datos!$B$235,30,0))/100)</f>
        <v>0.7</v>
      </c>
      <c r="V119" s="131"/>
      <c r="W119" s="128"/>
      <c r="X119" s="131"/>
      <c r="Y119" s="128"/>
      <c r="Z119" s="134"/>
      <c r="AA119" s="18"/>
      <c r="AB119" s="18"/>
      <c r="AC119" s="18"/>
      <c r="AD119" s="18"/>
      <c r="AE119" s="18"/>
      <c r="AF119" s="18"/>
      <c r="AG119" s="23"/>
    </row>
    <row r="120" spans="1:33" ht="37.5" customHeight="1" x14ac:dyDescent="0.25">
      <c r="A120" s="152"/>
      <c r="B120" s="128"/>
      <c r="C120" s="155"/>
      <c r="D120" s="136" t="s">
        <v>478</v>
      </c>
      <c r="E120" s="136"/>
      <c r="F120" s="190"/>
      <c r="G120" s="136"/>
      <c r="H120" s="35" t="s">
        <v>56</v>
      </c>
      <c r="I120" s="149"/>
      <c r="J120" s="149"/>
      <c r="K120" s="134"/>
      <c r="L120" s="22"/>
      <c r="M120" s="38"/>
      <c r="N120" s="20"/>
      <c r="O120" s="20"/>
      <c r="P120" s="20"/>
      <c r="Q120" s="20"/>
      <c r="R120" s="20"/>
      <c r="S120" s="20"/>
      <c r="T120" s="20"/>
      <c r="U120" s="41">
        <f>((IF(N120=[4]Datos!$B$233,15,0))/100)+((IF(O120=[4]Datos!$B$229,5,0))/100)+((IF(P120=[4]Datos!$B$233,15,0))/100)+((IF(Q120=[4]Datos!$B$231,10,0))/100)+((IF(R120=[4]Datos!$B$233,15,0))/100)+((IF(S120=[4]Datos!$B$231,10,0))/100)+((IF(T120=[4]Datos!$B$235,30,0))/100)</f>
        <v>0</v>
      </c>
      <c r="V120" s="131"/>
      <c r="W120" s="128"/>
      <c r="X120" s="131"/>
      <c r="Y120" s="128"/>
      <c r="Z120" s="134"/>
      <c r="AA120" s="18"/>
      <c r="AB120" s="18"/>
      <c r="AC120" s="18"/>
      <c r="AD120" s="18"/>
      <c r="AE120" s="18"/>
      <c r="AF120" s="18"/>
      <c r="AG120" s="23"/>
    </row>
    <row r="121" spans="1:33" x14ac:dyDescent="0.25">
      <c r="A121" s="152"/>
      <c r="B121" s="128"/>
      <c r="C121" s="155"/>
      <c r="D121" s="136"/>
      <c r="E121" s="136"/>
      <c r="F121" s="190"/>
      <c r="G121" s="136"/>
      <c r="H121" s="35" t="s">
        <v>54</v>
      </c>
      <c r="I121" s="149"/>
      <c r="J121" s="149"/>
      <c r="K121" s="134"/>
      <c r="L121" s="22"/>
      <c r="M121" s="38"/>
      <c r="N121" s="20"/>
      <c r="O121" s="20"/>
      <c r="P121" s="20"/>
      <c r="Q121" s="20"/>
      <c r="R121" s="20"/>
      <c r="S121" s="20"/>
      <c r="T121" s="20"/>
      <c r="U121" s="41">
        <f>((IF(N121=[4]Datos!$B$233,15,0))/100)+((IF(O121=[4]Datos!$B$229,5,0))/100)+((IF(P121=[4]Datos!$B$233,15,0))/100)+((IF(Q121=[4]Datos!$B$231,10,0))/100)+((IF(R121=[4]Datos!$B$233,15,0))/100)+((IF(S121=[4]Datos!$B$231,10,0))/100)+((IF(T121=[4]Datos!$B$235,30,0))/100)</f>
        <v>0</v>
      </c>
      <c r="V121" s="131"/>
      <c r="W121" s="128"/>
      <c r="X121" s="131"/>
      <c r="Y121" s="128"/>
      <c r="Z121" s="134"/>
      <c r="AA121" s="18"/>
      <c r="AB121" s="18"/>
      <c r="AC121" s="18"/>
      <c r="AD121" s="18"/>
      <c r="AE121" s="18"/>
      <c r="AF121" s="18"/>
      <c r="AG121" s="23"/>
    </row>
    <row r="122" spans="1:33" x14ac:dyDescent="0.25">
      <c r="A122" s="152"/>
      <c r="B122" s="128"/>
      <c r="C122" s="155"/>
      <c r="D122" s="136"/>
      <c r="E122" s="136"/>
      <c r="F122" s="190"/>
      <c r="G122" s="136"/>
      <c r="H122" s="35"/>
      <c r="I122" s="149"/>
      <c r="J122" s="149"/>
      <c r="K122" s="134"/>
      <c r="L122" s="22"/>
      <c r="M122" s="38"/>
      <c r="N122" s="20"/>
      <c r="O122" s="20"/>
      <c r="P122" s="20"/>
      <c r="Q122" s="20"/>
      <c r="R122" s="20"/>
      <c r="S122" s="20"/>
      <c r="T122" s="20"/>
      <c r="U122" s="41">
        <f>((IF(N122=[4]Datos!$B$233,15,0))/100)+((IF(O122=[4]Datos!$B$229,5,0))/100)+((IF(P122=[4]Datos!$B$233,15,0))/100)+((IF(Q122=[4]Datos!$B$231,10,0))/100)+((IF(R122=[4]Datos!$B$233,15,0))/100)+((IF(S122=[4]Datos!$B$231,10,0))/100)+((IF(T122=[4]Datos!$B$235,30,0))/100)</f>
        <v>0</v>
      </c>
      <c r="V122" s="131"/>
      <c r="W122" s="128"/>
      <c r="X122" s="131"/>
      <c r="Y122" s="128"/>
      <c r="Z122" s="134"/>
      <c r="AA122" s="18"/>
      <c r="AB122" s="18"/>
      <c r="AC122" s="18"/>
      <c r="AD122" s="18"/>
      <c r="AE122" s="18"/>
      <c r="AF122" s="18"/>
      <c r="AG122" s="23"/>
    </row>
    <row r="123" spans="1:33" ht="15.75" thickBot="1" x14ac:dyDescent="0.3">
      <c r="A123" s="153"/>
      <c r="B123" s="129"/>
      <c r="C123" s="156"/>
      <c r="D123" s="137"/>
      <c r="E123" s="137"/>
      <c r="F123" s="191"/>
      <c r="G123" s="137"/>
      <c r="H123" s="36"/>
      <c r="I123" s="150"/>
      <c r="J123" s="150"/>
      <c r="K123" s="135"/>
      <c r="L123" s="49"/>
      <c r="M123" s="39"/>
      <c r="N123" s="28"/>
      <c r="O123" s="28"/>
      <c r="P123" s="28"/>
      <c r="Q123" s="28"/>
      <c r="R123" s="28"/>
      <c r="S123" s="28"/>
      <c r="T123" s="28"/>
      <c r="U123" s="42">
        <f>((IF(N123=[4]Datos!$B$233,15,0))/100)+((IF(O123=[4]Datos!$B$229,5,0))/100)+((IF(P123=[4]Datos!$B$233,15,0))/100)+((IF(Q123=[4]Datos!$B$231,10,0))/100)+((IF(R123=[4]Datos!$B$233,15,0))/100)+((IF(S123=[4]Datos!$B$231,10,0))/100)+((IF(T123=[4]Datos!$B$235,30,0))/100)</f>
        <v>0</v>
      </c>
      <c r="V123" s="132"/>
      <c r="W123" s="129"/>
      <c r="X123" s="132"/>
      <c r="Y123" s="129"/>
      <c r="Z123" s="135"/>
      <c r="AA123" s="26"/>
      <c r="AB123" s="26"/>
      <c r="AC123" s="26"/>
      <c r="AD123" s="26"/>
      <c r="AE123" s="26"/>
      <c r="AF123" s="26"/>
      <c r="AG123" s="30"/>
    </row>
    <row r="124" spans="1:33" ht="35.25" customHeight="1" x14ac:dyDescent="0.25">
      <c r="A124" s="151" t="s">
        <v>532</v>
      </c>
      <c r="B124" s="127"/>
      <c r="C124" s="154" t="s">
        <v>539</v>
      </c>
      <c r="D124" s="183" t="s">
        <v>479</v>
      </c>
      <c r="E124" s="184"/>
      <c r="F124" s="185" t="s">
        <v>170</v>
      </c>
      <c r="G124" s="157" t="s">
        <v>171</v>
      </c>
      <c r="H124" s="45" t="s">
        <v>166</v>
      </c>
      <c r="I124" s="148" t="s">
        <v>160</v>
      </c>
      <c r="J124" s="148" t="s">
        <v>46</v>
      </c>
      <c r="K124" s="133" t="str">
        <f>IF(AND(I124=[4]Datos!$B$212,J124=[4]Datos!$B$219),[4]Datos!$D$216,IF(AND(I124=[4]Datos!$B$212,J124=[4]Datos!$B$220),[4]Datos!$E$216,IF(AND(I124=[4]Datos!$B$212,J124=[4]Datos!$B$221),[4]Datos!$F$216,IF(AND(I124=[4]Datos!$B$213,J124=[4]Datos!$B$219),[4]Datos!$D$215,IF(AND(I124=[4]Datos!$B$213,J124=[4]Datos!$B$220),[4]Datos!$E$215,IF(AND(I124=[4]Datos!$B$213,J124=[4]Datos!$B$221),[4]Datos!$F$215,IF(AND(I124=[4]Datos!$B$214,J124=[4]Datos!$B$219),[4]Datos!$D$214,IF(AND(I124=[4]Datos!$B$214,J124=[4]Datos!$B$220),[4]Datos!$E$214,IF(AND(I124=[4]Datos!$B$214,J124=[4]Datos!$B$221),[4]Datos!$F$214,IF(AND(I124=[4]Datos!$B$215,J124=[4]Datos!$B$219),[4]Datos!$D$213,IF(AND(I124=[4]Datos!$B$215,J124=[4]Datos!$B$220),[4]Datos!$E$213,IF(AND(I124=[4]Datos!$B$215,J124=[4]Datos!$B$221),[4]Datos!$F$213,IF(AND(I124=[4]Datos!$B$216,J124=[4]Datos!$B$219),[4]Datos!$D$212,IF(AND(I124=[4]Datos!$B$216,J124=[4]Datos!$B$220),[4]Datos!$E$212,IF(AND(I124=[4]Datos!$B$216,J124=[4]Datos!$B$221),[4]Datos!$F$212,"-")))))))))))))))</f>
        <v>MODERADA 20</v>
      </c>
      <c r="L124" s="15" t="s">
        <v>346</v>
      </c>
      <c r="M124" s="37" t="s">
        <v>47</v>
      </c>
      <c r="N124" s="13" t="s">
        <v>48</v>
      </c>
      <c r="O124" s="13" t="s">
        <v>50</v>
      </c>
      <c r="P124" s="13" t="s">
        <v>50</v>
      </c>
      <c r="Q124" s="13" t="s">
        <v>51</v>
      </c>
      <c r="R124" s="13" t="s">
        <v>48</v>
      </c>
      <c r="S124" s="13" t="s">
        <v>51</v>
      </c>
      <c r="T124" s="13" t="s">
        <v>50</v>
      </c>
      <c r="U124" s="40">
        <f>((IF(N124=[4]Datos!$B$233,15,0))/100)+((IF(O124=[4]Datos!$B$229,5,0))/100)+((IF(P124=[4]Datos!$B$233,15,0))/100)+((IF(Q124=[4]Datos!$B$231,10,0))/100)+((IF(R124=[4]Datos!$B$233,15,0))/100)+((IF(S124=[4]Datos!$B$231,10,0))/100)+((IF(T124=[4]Datos!$B$235,30,0))/100)</f>
        <v>0.5</v>
      </c>
      <c r="V124" s="130">
        <f>IF(ISERROR(((IF(M124=[4]Datos!$B$224,U124,0))+(IF(M125=[4]Datos!$B$224,U125,0))+(IF(M126=[4]Datos!$B$224,U126,0))+(IF(M127=[4]Datos!$B$224,U127,0))+(IF(M128=[4]Datos!$B$224,U128,0))+(IF(M129=[4]Datos!$B$224,U129,0)))/((IF(M124=[4]Datos!$B$224,1,0))+(IF(M125=[4]Datos!$B$224,1,0))+(IF(M126=[4]Datos!$B$224,1,0))+(IF(M127=[4]Datos!$B$224,1,0))+(IF(M128=[4]Datos!$B$224,1,0))+(IF(M129=[4]Datos!$B$224,1,0)))),0,(((IF(M124=[4]Datos!$B$224,U124,0))+(IF(M125=[4]Datos!$B$224,U125,0))+(IF(M126=[4]Datos!$B$224,U126,0))+(IF(M127=[4]Datos!$B$224,U127,0))+(IF(M128=[4]Datos!$B$224,U128,0))+(IF(M129=[4]Datos!$B$224,U129,0)))/((IF(M124=[4]Datos!$B$224,1,0))+(IF(M125=[4]Datos!$B$224,1,0))+(IF(M126=[4]Datos!$B$224,1,0))+(IF(M127=[4]Datos!$B$224,1,0))+(IF(M128=[4]Datos!$B$224,1,0))+(IF(M129=[4]Datos!$B$224,1,0)))))</f>
        <v>0.6</v>
      </c>
      <c r="W124" s="127" t="str">
        <f>IF(I124="","-",(IF(V124&gt;0,(IF(I124=[4]Datos!$B$212,[4]Datos!$B$212,IF(AND(I124=[4]Datos!$B$213,V124&gt;0.49),[4]Datos!$B$212,IF(AND(I124=[4]Datos!$B$214,V124&gt;0.74),[4]Datos!$B$212,IF(AND(I124=[4]Datos!$B$214,V124&lt;0.75,V124&gt;0.49),[4]Datos!$B$213,IF(AND(I124=[4]Datos!$B$215,V124&gt;0.74),[4]Datos!$B$213,IF(AND(I124=[4]Datos!$B$215,V124&lt;0.75,V124&gt;0.49),[4]Datos!$B$214,IF(AND(I124=[4]Datos!$B$216,V124&gt;0.74),[4]Datos!$B$214,IF(AND(I124=[4]Datos!$B$216,V124&lt;0.75,V124&gt;0.49),[4]Datos!$B$215,I124))))))))),I124)))</f>
        <v>Rara vez - 1</v>
      </c>
      <c r="X124" s="130">
        <f>IF(ISERROR(((IF(M124=[4]Datos!$B$225,U124,0))+(IF(M125=[4]Datos!$B$225,U125,0))+(IF(M126=[4]Datos!$B$225,U126,0))+(IF(M127=[4]Datos!$B$225,U127,0))+(IF(M128=[4]Datos!$B$225,U128,0))+(IF(M129=[4]Datos!$B$225,U129,0))+(IF(M124=[4]Datos!$B$226,U124,0))+(IF(M125=[4]Datos!$B$226,U125,0))+(IF(M126=[4]Datos!$B$226,U126,0))+(IF(M127=[4]Datos!$B$226,U127,0))+(IF(M128=[4]Datos!$B$226,U128,0))+(IF(M129=[4]Datos!$B$226,U129,0)))/((IF(M124=[4]Datos!$B$225,1,0))+(IF(M125=[4]Datos!$B$225,1,0))+(IF(M126=[4]Datos!$B$225,1,0))+(IF(M127=[4]Datos!$B$225,1,0))+(IF(M128=[4]Datos!$B$225,1,0))+(IF(M129=[4]Datos!$B$225,1,0))+(IF(M124=[4]Datos!$B$226,1,0))+(IF(M125=[4]Datos!$B$226,1,0))+(IF(M126=[4]Datos!$B$226,1,0))+(IF(M127=[4]Datos!$B$226,1,0))+(IF(M128=[4]Datos!$B$226,1,0))+(IF(M129=[4]Datos!$B$226,1,0)))),0,((IF(M124=[4]Datos!$B$225,U124,0))+(IF(M125=[4]Datos!$B$225,U125,0))+(IF(M126=[4]Datos!$B$225,U126,0))+(IF(M127=[4]Datos!$B$225,U127,0))+(IF(M128=[4]Datos!$B$225,U128,0))+(IF(M129=[4]Datos!$B$225,U129,0))+(IF(M124=[4]Datos!$B$226,U124,0))+(IF(M125=[4]Datos!$B$226,U125,0))+(IF(M126=[4]Datos!$B$226,U126,0))+(IF(M127=[4]Datos!$B$226,U127,0))+(IF(M128=[4]Datos!$B$226,U128,0))+(IF(M129=[4]Datos!$B$226,U129,0)))/((IF(M124=[4]Datos!$B$225,1,0))+(IF(M125=[4]Datos!$B$225,1,0))+(IF(M126=[4]Datos!$B$225,1,0))+(IF(M127=[4]Datos!$B$225,1,0))+(IF(M128=[4]Datos!$B$225,1,0))+(IF(M129=[4]Datos!$B$225,1,0))+(IF(M124=[4]Datos!$B$226,1,0))+(IF(M125=[4]Datos!$B$226,1,0))+(IF(M126=[4]Datos!$B$226,1,0))+(IF(M127=[4]Datos!$B$226,1,0))+(IF(M128=[4]Datos!$B$226,1,0))+(IF(M129=[4]Datos!$B$226,1,0))))</f>
        <v>0</v>
      </c>
      <c r="Y124" s="127" t="str">
        <f>IF(J124="","-",(IF(X124&gt;0,(IF(J124=[4]Datos!$B$219,[4]Datos!$B$219,IF(AND(J124=[4]Datos!$B$220,X124&gt;0.49),[4]Datos!$B$219,IF(AND(J124=[4]Datos!$B$221,X124&gt;0.74),[4]Datos!$B$219,IF(AND(J124=[4]Datos!$B$221,X124&lt;0.75,X124&gt;0.49),[4]Datos!$B$220,IF(AND(J124=[4]Datos!$B$222,X124&gt;0.74),[4]Datos!$B$220,IF(AND(J124=[4]Datos!$B$222,X124&lt;0.75,X124&gt;0.49),[4]Datos!$B$221,IF(AND(J124=[4]Datos!$B$223,X124&gt;0.74),[4]Datos!$B$221,IF(AND(J124=[4]Datos!$B$223,X124&lt;0.75,X124&gt;0.49),[4]Datos!$B$222,J124))))))))),J124)))</f>
        <v>Catastrófico - 20</v>
      </c>
      <c r="Z124" s="133" t="str">
        <f>IF(AND(W124=[4]Datos!$B$212,Y124=[4]Datos!$B$219),[4]Datos!$D$216,IF(AND(W124=[4]Datos!$B$212,Y124=[4]Datos!$B$220),[4]Datos!$E$216,IF(AND(W124=[4]Datos!$B$212,Y124=[4]Datos!$B$221),[4]Datos!$F$216,IF(AND(W124=[4]Datos!$B$213,Y124=[4]Datos!$B$219),[4]Datos!$D$215,IF(AND(W124=[4]Datos!$B$213,Y124=[4]Datos!$B$220),[4]Datos!$E$215,IF(AND(W124=[4]Datos!$B$213,Y124=[4]Datos!$B$221),[4]Datos!$F$215,IF(AND(W124=[4]Datos!$B$214,Y124=[4]Datos!$B$219),[4]Datos!$D$214,IF(AND(W124=[4]Datos!$B$214,Y124=[4]Datos!$B$220),[4]Datos!$E$214,IF(AND(W124=[4]Datos!$B$214,Y124=[4]Datos!$B$221),[4]Datos!$F$214,IF(AND(W124=[4]Datos!$B$215,Y124=[4]Datos!$B$219),[4]Datos!$D$213,IF(AND(W124=[4]Datos!$B$215,Y124=[4]Datos!$B$220),[4]Datos!$E$213,IF(AND(W124=[4]Datos!$B$215,Y124=[4]Datos!$B$221),[4]Datos!$F$213,IF(AND(W124=[4]Datos!$B$216,Y124=[4]Datos!$B$219),[4]Datos!$D$212,IF(AND(W124=[4]Datos!$B$216,Y124=[4]Datos!$B$220),[4]Datos!$E$212,IF(AND(W124=[4]Datos!$B$216,Y124=[4]Datos!$B$221),[4]Datos!$F$212,"-")))))))))))))))</f>
        <v>MODERADA 20</v>
      </c>
      <c r="AA124" s="11"/>
      <c r="AB124" s="11"/>
      <c r="AC124" s="11"/>
      <c r="AD124" s="11"/>
      <c r="AE124" s="11"/>
      <c r="AF124" s="11"/>
      <c r="AG124" s="16"/>
    </row>
    <row r="125" spans="1:33" ht="45" customHeight="1" x14ac:dyDescent="0.25">
      <c r="A125" s="152"/>
      <c r="B125" s="128"/>
      <c r="C125" s="155"/>
      <c r="D125" s="181" t="s">
        <v>480</v>
      </c>
      <c r="E125" s="182"/>
      <c r="F125" s="181"/>
      <c r="G125" s="158"/>
      <c r="H125" s="35" t="s">
        <v>56</v>
      </c>
      <c r="I125" s="149"/>
      <c r="J125" s="149"/>
      <c r="K125" s="134"/>
      <c r="L125" s="22" t="s">
        <v>345</v>
      </c>
      <c r="M125" s="38" t="s">
        <v>47</v>
      </c>
      <c r="N125" s="20" t="s">
        <v>48</v>
      </c>
      <c r="O125" s="20" t="s">
        <v>49</v>
      </c>
      <c r="P125" s="20" t="s">
        <v>50</v>
      </c>
      <c r="Q125" s="20" t="s">
        <v>51</v>
      </c>
      <c r="R125" s="20" t="s">
        <v>50</v>
      </c>
      <c r="S125" s="20" t="s">
        <v>51</v>
      </c>
      <c r="T125" s="20" t="s">
        <v>52</v>
      </c>
      <c r="U125" s="41">
        <f>((IF(N125=[4]Datos!$B$233,15,0))/100)+((IF(O125=[4]Datos!$B$229,5,0))/100)+((IF(P125=[4]Datos!$B$233,15,0))/100)+((IF(Q125=[4]Datos!$B$231,10,0))/100)+((IF(R125=[4]Datos!$B$233,15,0))/100)+((IF(S125=[4]Datos!$B$231,10,0))/100)+((IF(T125=[4]Datos!$B$235,30,0))/100)</f>
        <v>0.7</v>
      </c>
      <c r="V125" s="131"/>
      <c r="W125" s="128"/>
      <c r="X125" s="131"/>
      <c r="Y125" s="128"/>
      <c r="Z125" s="134"/>
      <c r="AA125" s="18"/>
      <c r="AB125" s="18"/>
      <c r="AC125" s="18"/>
      <c r="AD125" s="18"/>
      <c r="AE125" s="18"/>
      <c r="AF125" s="18"/>
      <c r="AG125" s="23"/>
    </row>
    <row r="126" spans="1:33" x14ac:dyDescent="0.25">
      <c r="A126" s="152"/>
      <c r="B126" s="128"/>
      <c r="C126" s="155"/>
      <c r="D126" s="136"/>
      <c r="E126" s="136"/>
      <c r="F126" s="181"/>
      <c r="G126" s="158"/>
      <c r="H126" s="35" t="s">
        <v>62</v>
      </c>
      <c r="I126" s="149"/>
      <c r="J126" s="149"/>
      <c r="K126" s="134"/>
      <c r="L126" s="22"/>
      <c r="M126" s="38"/>
      <c r="N126" s="20"/>
      <c r="O126" s="20"/>
      <c r="P126" s="20"/>
      <c r="Q126" s="20"/>
      <c r="R126" s="20"/>
      <c r="S126" s="20"/>
      <c r="T126" s="20"/>
      <c r="U126" s="41">
        <f>((IF(N126=[4]Datos!$B$233,15,0))/100)+((IF(O126=[4]Datos!$B$229,5,0))/100)+((IF(P126=[4]Datos!$B$233,15,0))/100)+((IF(Q126=[4]Datos!$B$231,10,0))/100)+((IF(R126=[4]Datos!$B$233,15,0))/100)+((IF(S126=[4]Datos!$B$231,10,0))/100)+((IF(T126=[4]Datos!$B$235,30,0))/100)</f>
        <v>0</v>
      </c>
      <c r="V126" s="131"/>
      <c r="W126" s="128"/>
      <c r="X126" s="131"/>
      <c r="Y126" s="128"/>
      <c r="Z126" s="134"/>
      <c r="AA126" s="18"/>
      <c r="AB126" s="18"/>
      <c r="AC126" s="18"/>
      <c r="AD126" s="18"/>
      <c r="AE126" s="18"/>
      <c r="AF126" s="18"/>
      <c r="AG126" s="23"/>
    </row>
    <row r="127" spans="1:33" x14ac:dyDescent="0.25">
      <c r="A127" s="152"/>
      <c r="B127" s="128"/>
      <c r="C127" s="155"/>
      <c r="D127" s="136"/>
      <c r="E127" s="136"/>
      <c r="F127" s="181"/>
      <c r="G127" s="158"/>
      <c r="H127" s="35" t="s">
        <v>54</v>
      </c>
      <c r="I127" s="149"/>
      <c r="J127" s="149"/>
      <c r="K127" s="134"/>
      <c r="L127" s="22"/>
      <c r="M127" s="38"/>
      <c r="N127" s="20"/>
      <c r="O127" s="20"/>
      <c r="P127" s="20"/>
      <c r="Q127" s="20"/>
      <c r="R127" s="20"/>
      <c r="S127" s="20"/>
      <c r="T127" s="20"/>
      <c r="U127" s="41">
        <f>((IF(N127=[4]Datos!$B$233,15,0))/100)+((IF(O127=[4]Datos!$B$229,5,0))/100)+((IF(P127=[4]Datos!$B$233,15,0))/100)+((IF(Q127=[4]Datos!$B$231,10,0))/100)+((IF(R127=[4]Datos!$B$233,15,0))/100)+((IF(S127=[4]Datos!$B$231,10,0))/100)+((IF(T127=[4]Datos!$B$235,30,0))/100)</f>
        <v>0</v>
      </c>
      <c r="V127" s="131"/>
      <c r="W127" s="128"/>
      <c r="X127" s="131"/>
      <c r="Y127" s="128"/>
      <c r="Z127" s="134"/>
      <c r="AA127" s="18"/>
      <c r="AB127" s="18"/>
      <c r="AC127" s="18"/>
      <c r="AD127" s="18"/>
      <c r="AE127" s="18"/>
      <c r="AF127" s="18"/>
      <c r="AG127" s="23"/>
    </row>
    <row r="128" spans="1:33" x14ac:dyDescent="0.25">
      <c r="A128" s="152"/>
      <c r="B128" s="128"/>
      <c r="C128" s="155"/>
      <c r="D128" s="136"/>
      <c r="E128" s="136"/>
      <c r="F128" s="181"/>
      <c r="G128" s="158"/>
      <c r="H128" s="35"/>
      <c r="I128" s="149"/>
      <c r="J128" s="149"/>
      <c r="K128" s="134"/>
      <c r="L128" s="22"/>
      <c r="M128" s="38"/>
      <c r="N128" s="20"/>
      <c r="O128" s="20"/>
      <c r="P128" s="20"/>
      <c r="Q128" s="20"/>
      <c r="R128" s="20"/>
      <c r="S128" s="20"/>
      <c r="T128" s="20"/>
      <c r="U128" s="41">
        <f>((IF(N128=[4]Datos!$B$233,15,0))/100)+((IF(O128=[4]Datos!$B$229,5,0))/100)+((IF(P128=[4]Datos!$B$233,15,0))/100)+((IF(Q128=[4]Datos!$B$231,10,0))/100)+((IF(R128=[4]Datos!$B$233,15,0))/100)+((IF(S128=[4]Datos!$B$231,10,0))/100)+((IF(T128=[4]Datos!$B$235,30,0))/100)</f>
        <v>0</v>
      </c>
      <c r="V128" s="131"/>
      <c r="W128" s="128"/>
      <c r="X128" s="131"/>
      <c r="Y128" s="128"/>
      <c r="Z128" s="134"/>
      <c r="AA128" s="18"/>
      <c r="AB128" s="18"/>
      <c r="AC128" s="18"/>
      <c r="AD128" s="18"/>
      <c r="AE128" s="18"/>
      <c r="AF128" s="18"/>
      <c r="AG128" s="23"/>
    </row>
    <row r="129" spans="1:33" ht="15.75" thickBot="1" x14ac:dyDescent="0.3">
      <c r="A129" s="153"/>
      <c r="B129" s="129"/>
      <c r="C129" s="156"/>
      <c r="D129" s="137"/>
      <c r="E129" s="137"/>
      <c r="F129" s="186"/>
      <c r="G129" s="159"/>
      <c r="H129" s="36"/>
      <c r="I129" s="150"/>
      <c r="J129" s="150"/>
      <c r="K129" s="135"/>
      <c r="L129" s="49"/>
      <c r="M129" s="39"/>
      <c r="N129" s="28"/>
      <c r="O129" s="28"/>
      <c r="P129" s="28"/>
      <c r="Q129" s="28"/>
      <c r="R129" s="28"/>
      <c r="S129" s="28"/>
      <c r="T129" s="28"/>
      <c r="U129" s="42">
        <f>((IF(N129=[4]Datos!$B$233,15,0))/100)+((IF(O129=[4]Datos!$B$229,5,0))/100)+((IF(P129=[4]Datos!$B$233,15,0))/100)+((IF(Q129=[4]Datos!$B$231,10,0))/100)+((IF(R129=[4]Datos!$B$233,15,0))/100)+((IF(S129=[4]Datos!$B$231,10,0))/100)+((IF(T129=[4]Datos!$B$235,30,0))/100)</f>
        <v>0</v>
      </c>
      <c r="V129" s="132"/>
      <c r="W129" s="129"/>
      <c r="X129" s="132"/>
      <c r="Y129" s="129"/>
      <c r="Z129" s="135"/>
      <c r="AA129" s="26"/>
      <c r="AB129" s="26"/>
      <c r="AC129" s="26"/>
      <c r="AD129" s="26"/>
      <c r="AE129" s="26"/>
      <c r="AF129" s="26"/>
      <c r="AG129" s="30"/>
    </row>
    <row r="130" spans="1:33" ht="50.25" customHeight="1" x14ac:dyDescent="0.25">
      <c r="A130" s="151" t="s">
        <v>533</v>
      </c>
      <c r="B130" s="127"/>
      <c r="C130" s="154" t="s">
        <v>439</v>
      </c>
      <c r="D130" s="147" t="s">
        <v>481</v>
      </c>
      <c r="E130" s="147"/>
      <c r="F130" s="169" t="s">
        <v>388</v>
      </c>
      <c r="G130" s="169" t="s">
        <v>389</v>
      </c>
      <c r="H130" s="95" t="s">
        <v>406</v>
      </c>
      <c r="I130" s="148" t="s">
        <v>45</v>
      </c>
      <c r="J130" s="148" t="s">
        <v>85</v>
      </c>
      <c r="K130" s="133" t="str">
        <f>IF(AND(I130=[5]Datos!$B$212,J130=[5]Datos!$B$219),[5]Datos!$D$216,IF(AND(I130=[5]Datos!$B$212,J130=[5]Datos!$B$220),[5]Datos!$E$216,IF(AND(I130=[5]Datos!$B$212,J130=[5]Datos!$B$221),[5]Datos!$F$216,IF(AND(I130=[5]Datos!$B$213,J130=[5]Datos!$B$219),[5]Datos!$D$215,IF(AND(I130=[5]Datos!$B$213,J130=[5]Datos!$B$220),[5]Datos!$E$215,IF(AND(I130=[5]Datos!$B$213,J130=[5]Datos!$B$221),[5]Datos!$F$215,IF(AND(I130=[5]Datos!$B$214,J130=[5]Datos!$B$219),[5]Datos!$D$214,IF(AND(I130=[5]Datos!$B$214,J130=[5]Datos!$B$220),[5]Datos!$E$214,IF(AND(I130=[5]Datos!$B$214,J130=[5]Datos!$B$221),[5]Datos!$F$214,IF(AND(I130=[5]Datos!$B$215,J130=[5]Datos!$B$219),[5]Datos!$D$213,IF(AND(I130=[5]Datos!$B$215,J130=[5]Datos!$B$220),[5]Datos!$E$213,IF(AND(I130=[5]Datos!$B$215,J130=[5]Datos!$B$221),[5]Datos!$F$213,IF(AND(I130=[5]Datos!$B$216,J130=[5]Datos!$B$219),[5]Datos!$D$212,IF(AND(I130=[5]Datos!$B$216,J130=[5]Datos!$B$220),[5]Datos!$E$212,IF(AND(I130=[5]Datos!$B$216,J130=[5]Datos!$B$221),[5]Datos!$F$212,"-")))))))))))))))</f>
        <v>ALTA 30</v>
      </c>
      <c r="L130" s="15" t="s">
        <v>172</v>
      </c>
      <c r="M130" s="37" t="s">
        <v>81</v>
      </c>
      <c r="N130" s="13" t="s">
        <v>48</v>
      </c>
      <c r="O130" s="13" t="s">
        <v>49</v>
      </c>
      <c r="P130" s="13" t="s">
        <v>50</v>
      </c>
      <c r="Q130" s="13" t="s">
        <v>51</v>
      </c>
      <c r="R130" s="13" t="s">
        <v>48</v>
      </c>
      <c r="S130" s="13" t="s">
        <v>51</v>
      </c>
      <c r="T130" s="13" t="s">
        <v>52</v>
      </c>
      <c r="U130" s="40">
        <f>((IF(N130=[5]Datos!$B$233,15,0))/100)+((IF(O130=[5]Datos!$B$229,5,0))/100)+((IF(P130=[5]Datos!$B$233,15,0))/100)+((IF(Q130=[5]Datos!$B$231,10,0))/100)+((IF(R130=[5]Datos!$B$233,15,0))/100)+((IF(S130=[5]Datos!$B$231,10,0))/100)+((IF(T130=[5]Datos!$B$235,30,0))/100)</f>
        <v>0.85000000000000009</v>
      </c>
      <c r="V130" s="130">
        <f>IF(ISERROR(((IF(M130=[5]Datos!$B$224,U130,0))+(IF(M131=[5]Datos!$B$224,U131,0))+(IF(M132=[5]Datos!$B$224,U132,0))+(IF(M133=[5]Datos!$B$224,U133,0))+(IF(M134=[5]Datos!$B$224,U134,0))+(IF(M135=[5]Datos!$B$224,U135,0)))/((IF(M130=[5]Datos!$B$224,1,0))+(IF(M131=[5]Datos!$B$224,1,0))+(IF(M132=[5]Datos!$B$224,1,0))+(IF(M133=[5]Datos!$B$224,1,0))+(IF(M134=[5]Datos!$B$224,1,0))+(IF(M135=[5]Datos!$B$224,1,0)))),0,(((IF(M130=[5]Datos!$B$224,U130,0))+(IF(M131=[5]Datos!$B$224,U131,0))+(IF(M132=[5]Datos!$B$224,U132,0))+(IF(M133=[5]Datos!$B$224,U133,0))+(IF(M134=[5]Datos!$B$224,U134,0))+(IF(M135=[5]Datos!$B$224,U135,0)))/((IF(M130=[5]Datos!$B$224,1,0))+(IF(M131=[5]Datos!$B$224,1,0))+(IF(M132=[5]Datos!$B$224,1,0))+(IF(M133=[5]Datos!$B$224,1,0))+(IF(M134=[5]Datos!$B$224,1,0))+(IF(M135=[5]Datos!$B$224,1,0)))))</f>
        <v>0.85000000000000009</v>
      </c>
      <c r="W130" s="127" t="str">
        <f>IF(I130="","-",(IF(V130&gt;0,(IF(I130=[5]Datos!$B$212,[5]Datos!$B$212,IF(AND(I130=[5]Datos!$B$213,V130&gt;0.49),[5]Datos!$B$212,IF(AND(I130=[5]Datos!$B$214,V130&gt;0.74),[5]Datos!$B$212,IF(AND(I130=[5]Datos!$B$214,V130&lt;0.75,V130&gt;0.49),[5]Datos!$B$213,IF(AND(I130=[5]Datos!$B$215,V130&gt;0.74),[5]Datos!$B$213,IF(AND(I130=[5]Datos!$B$215,V130&lt;0.75,V130&gt;0.49),[5]Datos!$B$214,IF(AND(I130=[5]Datos!$B$216,V130&gt;0.74),[5]Datos!$B$214,IF(AND(I130=[5]Datos!$B$216,V130&lt;0.75,V130&gt;0.49),[5]Datos!$B$215,I130))))))))),I130)))</f>
        <v>Rara vez - 1</v>
      </c>
      <c r="X130" s="130">
        <f>IF(ISERROR(((IF(M130=[5]Datos!$B$225,U130,0))+(IF(M131=[5]Datos!$B$225,U131,0))+(IF(M132=[5]Datos!$B$225,U132,0))+(IF(M133=[5]Datos!$B$225,U133,0))+(IF(M134=[5]Datos!$B$225,U134,0))+(IF(M135=[5]Datos!$B$225,U135,0))+(IF(M130=[5]Datos!$B$226,U130,0))+(IF(M131=[5]Datos!$B$226,U131,0))+(IF(M132=[5]Datos!$B$226,U132,0))+(IF(M133=[5]Datos!$B$226,U133,0))+(IF(M134=[5]Datos!$B$226,U134,0))+(IF(M135=[5]Datos!$B$226,U135,0)))/((IF(M130=[5]Datos!$B$225,1,0))+(IF(M131=[5]Datos!$B$225,1,0))+(IF(M132=[5]Datos!$B$225,1,0))+(IF(M133=[5]Datos!$B$225,1,0))+(IF(M134=[5]Datos!$B$225,1,0))+(IF(M135=[5]Datos!$B$225,1,0))+(IF(M130=[5]Datos!$B$226,1,0))+(IF(M131=[5]Datos!$B$226,1,0))+(IF(M132=[5]Datos!$B$226,1,0))+(IF(M133=[5]Datos!$B$226,1,0))+(IF(M134=[5]Datos!$B$226,1,0))+(IF(M135=[5]Datos!$B$226,1,0)))),0,((IF(M130=[5]Datos!$B$225,U130,0))+(IF(M131=[5]Datos!$B$225,U131,0))+(IF(M132=[5]Datos!$B$225,U132,0))+(IF(M133=[5]Datos!$B$225,U133,0))+(IF(M134=[5]Datos!$B$225,U134,0))+(IF(M135=[5]Datos!$B$225,U135,0))+(IF(M130=[5]Datos!$B$226,U130,0))+(IF(M131=[5]Datos!$B$226,U131,0))+(IF(M132=[5]Datos!$B$226,U132,0))+(IF(M133=[5]Datos!$B$226,U133,0))+(IF(M134=[5]Datos!$B$226,U134,0))+(IF(M135=[5]Datos!$B$226,U135,0)))/((IF(M130=[5]Datos!$B$225,1,0))+(IF(M131=[5]Datos!$B$225,1,0))+(IF(M132=[5]Datos!$B$225,1,0))+(IF(M133=[5]Datos!$B$225,1,0))+(IF(M134=[5]Datos!$B$225,1,0))+(IF(M135=[5]Datos!$B$225,1,0))+(IF(M130=[5]Datos!$B$226,1,0))+(IF(M131=[5]Datos!$B$226,1,0))+(IF(M132=[5]Datos!$B$226,1,0))+(IF(M133=[5]Datos!$B$226,1,0))+(IF(M134=[5]Datos!$B$226,1,0))+(IF(M135=[5]Datos!$B$226,1,0))))</f>
        <v>0.85000000000000009</v>
      </c>
      <c r="Y130" s="127" t="str">
        <f>IF(J130="","-",(IF(X130&gt;0,(IF(J130=[5]Datos!$B$219,[5]Datos!$B$219,IF(AND(J130=[5]Datos!$B$220,X130&gt;0.49),[5]Datos!$B$219,IF(AND(J130=[5]Datos!$B$221,X130&gt;0.74),[5]Datos!$B$219,IF(AND(J130=[5]Datos!$B$221,X130&lt;0.75,X130&gt;0.49),[5]Datos!$B$220,IF(AND(J130=[5]Datos!$B$222,X130&gt;0.74),[5]Datos!$B$220,IF(AND(J130=[5]Datos!$B$222,X130&lt;0.75,X130&gt;0.49),[5]Datos!$B$221,IF(AND(J130=[5]Datos!$B$223,X130&gt;0.74),[5]Datos!$B$221,IF(AND(J130=[5]Datos!$B$223,X130&lt;0.75,X130&gt;0.49),[5]Datos!$B$222,J130))))))))),J130)))</f>
        <v>Moderado - 5</v>
      </c>
      <c r="Z130" s="133" t="str">
        <f>IF(AND(W130=[5]Datos!$B$212,Y130=[5]Datos!$B$219),[5]Datos!$D$216,IF(AND(W130=[5]Datos!$B$212,Y130=[5]Datos!$B$220),[5]Datos!$E$216,IF(AND(W130=[5]Datos!$B$212,Y130=[5]Datos!$B$221),[5]Datos!$F$216,IF(AND(W130=[5]Datos!$B$213,Y130=[5]Datos!$B$219),[5]Datos!$D$215,IF(AND(W130=[5]Datos!$B$213,Y130=[5]Datos!$B$220),[5]Datos!$E$215,IF(AND(W130=[5]Datos!$B$213,Y130=[5]Datos!$B$221),[5]Datos!$F$215,IF(AND(W130=[5]Datos!$B$214,Y130=[5]Datos!$B$219),[5]Datos!$D$214,IF(AND(W130=[5]Datos!$B$214,Y130=[5]Datos!$B$220),[5]Datos!$E$214,IF(AND(W130=[5]Datos!$B$214,Y130=[5]Datos!$B$221),[5]Datos!$F$214,IF(AND(W130=[5]Datos!$B$215,Y130=[5]Datos!$B$219),[5]Datos!$D$213,IF(AND(W130=[5]Datos!$B$215,Y130=[5]Datos!$B$220),[5]Datos!$E$213,IF(AND(W130=[5]Datos!$B$215,Y130=[5]Datos!$B$221),[5]Datos!$F$213,IF(AND(W130=[5]Datos!$B$216,Y130=[5]Datos!$B$219),[5]Datos!$D$212,IF(AND(W130=[5]Datos!$B$216,Y130=[5]Datos!$B$220),[5]Datos!$E$212,IF(AND(W130=[5]Datos!$B$216,Y130=[5]Datos!$B$221),[5]Datos!$F$212,"-")))))))))))))))</f>
        <v>BAJA 5</v>
      </c>
      <c r="AA130" s="11"/>
      <c r="AB130" s="11"/>
      <c r="AC130" s="11"/>
      <c r="AD130" s="11"/>
      <c r="AE130" s="11"/>
      <c r="AF130" s="11"/>
      <c r="AG130" s="16"/>
    </row>
    <row r="131" spans="1:33" ht="64.5" customHeight="1" x14ac:dyDescent="0.25">
      <c r="A131" s="152"/>
      <c r="B131" s="128"/>
      <c r="C131" s="155"/>
      <c r="D131" s="136" t="s">
        <v>503</v>
      </c>
      <c r="E131" s="136"/>
      <c r="F131" s="170"/>
      <c r="G131" s="170"/>
      <c r="H131" s="96" t="s">
        <v>407</v>
      </c>
      <c r="I131" s="149"/>
      <c r="J131" s="149"/>
      <c r="K131" s="134"/>
      <c r="L131" s="22" t="s">
        <v>421</v>
      </c>
      <c r="M131" s="38" t="s">
        <v>47</v>
      </c>
      <c r="N131" s="20" t="s">
        <v>48</v>
      </c>
      <c r="O131" s="20" t="s">
        <v>49</v>
      </c>
      <c r="P131" s="20" t="s">
        <v>50</v>
      </c>
      <c r="Q131" s="20" t="s">
        <v>51</v>
      </c>
      <c r="R131" s="20" t="s">
        <v>48</v>
      </c>
      <c r="S131" s="20" t="s">
        <v>51</v>
      </c>
      <c r="T131" s="20" t="s">
        <v>52</v>
      </c>
      <c r="U131" s="41">
        <f>((IF(N131=[5]Datos!$B$233,15,0))/100)+((IF(O131=[5]Datos!$B$229,5,0))/100)+((IF(P131=[5]Datos!$B$233,15,0))/100)+((IF(Q131=[5]Datos!$B$231,10,0))/100)+((IF(R131=[5]Datos!$B$233,15,0))/100)+((IF(S131=[5]Datos!$B$231,10,0))/100)+((IF(T131=[5]Datos!$B$235,30,0))/100)</f>
        <v>0.85000000000000009</v>
      </c>
      <c r="V131" s="131"/>
      <c r="W131" s="128"/>
      <c r="X131" s="131"/>
      <c r="Y131" s="128"/>
      <c r="Z131" s="134"/>
      <c r="AA131" s="18"/>
      <c r="AB131" s="18"/>
      <c r="AC131" s="18"/>
      <c r="AD131" s="18"/>
      <c r="AE131" s="18"/>
      <c r="AF131" s="18"/>
      <c r="AG131" s="23"/>
    </row>
    <row r="132" spans="1:33" ht="39" customHeight="1" x14ac:dyDescent="0.25">
      <c r="A132" s="152"/>
      <c r="B132" s="128"/>
      <c r="C132" s="155"/>
      <c r="D132" s="136" t="s">
        <v>482</v>
      </c>
      <c r="E132" s="136"/>
      <c r="F132" s="170"/>
      <c r="G132" s="170"/>
      <c r="H132" s="96" t="s">
        <v>173</v>
      </c>
      <c r="I132" s="149"/>
      <c r="J132" s="149"/>
      <c r="K132" s="134"/>
      <c r="L132" s="22"/>
      <c r="M132" s="38"/>
      <c r="N132" s="20"/>
      <c r="O132" s="20"/>
      <c r="P132" s="20"/>
      <c r="Q132" s="20"/>
      <c r="R132" s="20"/>
      <c r="S132" s="20"/>
      <c r="T132" s="20"/>
      <c r="U132" s="41">
        <f>((IF(N132=[5]Datos!$B$233,15,0))/100)+((IF(O132=[5]Datos!$B$229,5,0))/100)+((IF(P132=[5]Datos!$B$233,15,0))/100)+((IF(Q132=[5]Datos!$B$231,10,0))/100)+((IF(R132=[5]Datos!$B$233,15,0))/100)+((IF(S132=[5]Datos!$B$231,10,0))/100)+((IF(T132=[5]Datos!$B$235,30,0))/100)</f>
        <v>0</v>
      </c>
      <c r="V132" s="131"/>
      <c r="W132" s="128"/>
      <c r="X132" s="131"/>
      <c r="Y132" s="128"/>
      <c r="Z132" s="134"/>
      <c r="AA132" s="18"/>
      <c r="AB132" s="18"/>
      <c r="AC132" s="18"/>
      <c r="AD132" s="18"/>
      <c r="AE132" s="18"/>
      <c r="AF132" s="18"/>
      <c r="AG132" s="23"/>
    </row>
    <row r="133" spans="1:33" ht="52.5" customHeight="1" x14ac:dyDescent="0.25">
      <c r="A133" s="152"/>
      <c r="B133" s="128"/>
      <c r="C133" s="155"/>
      <c r="D133" s="136" t="s">
        <v>483</v>
      </c>
      <c r="E133" s="136"/>
      <c r="F133" s="170"/>
      <c r="G133" s="170"/>
      <c r="H133" s="96" t="s">
        <v>408</v>
      </c>
      <c r="I133" s="149"/>
      <c r="J133" s="149"/>
      <c r="K133" s="134"/>
      <c r="L133" s="22"/>
      <c r="M133" s="38"/>
      <c r="N133" s="20"/>
      <c r="O133" s="20"/>
      <c r="P133" s="20"/>
      <c r="Q133" s="20"/>
      <c r="R133" s="20"/>
      <c r="S133" s="20"/>
      <c r="T133" s="20"/>
      <c r="U133" s="41">
        <f>((IF(N133=[5]Datos!$B$233,15,0))/100)+((IF(O133=[5]Datos!$B$229,5,0))/100)+((IF(P133=[5]Datos!$B$233,15,0))/100)+((IF(Q133=[5]Datos!$B$231,10,0))/100)+((IF(R133=[5]Datos!$B$233,15,0))/100)+((IF(S133=[5]Datos!$B$231,10,0))/100)+((IF(T133=[5]Datos!$B$235,30,0))/100)</f>
        <v>0</v>
      </c>
      <c r="V133" s="131"/>
      <c r="W133" s="128"/>
      <c r="X133" s="131"/>
      <c r="Y133" s="128"/>
      <c r="Z133" s="134"/>
      <c r="AA133" s="18"/>
      <c r="AB133" s="18"/>
      <c r="AC133" s="18"/>
      <c r="AD133" s="18"/>
      <c r="AE133" s="18"/>
      <c r="AF133" s="18"/>
      <c r="AG133" s="23"/>
    </row>
    <row r="134" spans="1:33" x14ac:dyDescent="0.25">
      <c r="A134" s="152"/>
      <c r="B134" s="128"/>
      <c r="C134" s="155"/>
      <c r="D134" s="136"/>
      <c r="E134" s="136"/>
      <c r="F134" s="170"/>
      <c r="G134" s="170"/>
      <c r="H134" s="35"/>
      <c r="I134" s="149"/>
      <c r="J134" s="149"/>
      <c r="K134" s="134"/>
      <c r="L134" s="22"/>
      <c r="M134" s="38"/>
      <c r="N134" s="20"/>
      <c r="O134" s="20"/>
      <c r="P134" s="20"/>
      <c r="Q134" s="20"/>
      <c r="R134" s="20"/>
      <c r="S134" s="20"/>
      <c r="T134" s="20"/>
      <c r="U134" s="41">
        <f>((IF(N134=[5]Datos!$B$233,15,0))/100)+((IF(O134=[5]Datos!$B$229,5,0))/100)+((IF(P134=[5]Datos!$B$233,15,0))/100)+((IF(Q134=[5]Datos!$B$231,10,0))/100)+((IF(R134=[5]Datos!$B$233,15,0))/100)+((IF(S134=[5]Datos!$B$231,10,0))/100)+((IF(T134=[5]Datos!$B$235,30,0))/100)</f>
        <v>0</v>
      </c>
      <c r="V134" s="131"/>
      <c r="W134" s="128"/>
      <c r="X134" s="131"/>
      <c r="Y134" s="128"/>
      <c r="Z134" s="134"/>
      <c r="AA134" s="18"/>
      <c r="AB134" s="18"/>
      <c r="AC134" s="18"/>
      <c r="AD134" s="18"/>
      <c r="AE134" s="18"/>
      <c r="AF134" s="18"/>
      <c r="AG134" s="23"/>
    </row>
    <row r="135" spans="1:33" ht="15.75" thickBot="1" x14ac:dyDescent="0.3">
      <c r="A135" s="153"/>
      <c r="B135" s="129"/>
      <c r="C135" s="156"/>
      <c r="D135" s="137"/>
      <c r="E135" s="137"/>
      <c r="F135" s="171"/>
      <c r="G135" s="171"/>
      <c r="H135" s="36"/>
      <c r="I135" s="150"/>
      <c r="J135" s="150"/>
      <c r="K135" s="135"/>
      <c r="L135" s="49"/>
      <c r="M135" s="39"/>
      <c r="N135" s="28"/>
      <c r="O135" s="28"/>
      <c r="P135" s="28"/>
      <c r="Q135" s="28"/>
      <c r="R135" s="28"/>
      <c r="S135" s="28"/>
      <c r="T135" s="28"/>
      <c r="U135" s="42">
        <f>((IF(N135=[5]Datos!$B$233,15,0))/100)+((IF(O135=[5]Datos!$B$229,5,0))/100)+((IF(P135=[5]Datos!$B$233,15,0))/100)+((IF(Q135=[5]Datos!$B$231,10,0))/100)+((IF(R135=[5]Datos!$B$233,15,0))/100)+((IF(S135=[5]Datos!$B$231,10,0))/100)+((IF(T135=[5]Datos!$B$235,30,0))/100)</f>
        <v>0</v>
      </c>
      <c r="V135" s="132"/>
      <c r="W135" s="129"/>
      <c r="X135" s="132"/>
      <c r="Y135" s="129"/>
      <c r="Z135" s="135"/>
      <c r="AA135" s="26"/>
      <c r="AB135" s="26"/>
      <c r="AC135" s="26"/>
      <c r="AD135" s="26"/>
      <c r="AE135" s="26"/>
      <c r="AF135" s="26"/>
      <c r="AG135" s="30"/>
    </row>
    <row r="136" spans="1:33" ht="45" x14ac:dyDescent="0.25">
      <c r="A136" s="138" t="s">
        <v>174</v>
      </c>
      <c r="B136" s="139"/>
      <c r="C136" s="144" t="s">
        <v>443</v>
      </c>
      <c r="D136" s="147" t="s">
        <v>484</v>
      </c>
      <c r="E136" s="147"/>
      <c r="F136" s="147" t="s">
        <v>175</v>
      </c>
      <c r="G136" s="169" t="s">
        <v>390</v>
      </c>
      <c r="H136" s="43" t="s">
        <v>176</v>
      </c>
      <c r="I136" s="148" t="s">
        <v>45</v>
      </c>
      <c r="J136" s="148" t="s">
        <v>46</v>
      </c>
      <c r="K136" s="133" t="str">
        <f>IF(AND(I136=[6]Datos!$B$212,J136=[6]Datos!$B$219),[6]Datos!$D$216,IF(AND(I136=[6]Datos!$B$212,J136=[6]Datos!$B$220),[6]Datos!$E$216,IF(AND(I136=[6]Datos!$B$212,J136=[6]Datos!$B$221),[6]Datos!$F$216,IF(AND(I136=[6]Datos!$B$213,J136=[6]Datos!$B$219),[6]Datos!$D$215,IF(AND(I136=[6]Datos!$B$213,J136=[6]Datos!$B$220),[6]Datos!$E$215,IF(AND(I136=[6]Datos!$B$213,J136=[6]Datos!$B$221),[6]Datos!$F$215,IF(AND(I136=[6]Datos!$B$214,J136=[6]Datos!$B$219),[6]Datos!$D$214,IF(AND(I136=[6]Datos!$B$214,J136=[6]Datos!$B$220),[6]Datos!$E$214,IF(AND(I136=[6]Datos!$B$214,J136=[6]Datos!$B$221),[6]Datos!$F$214,IF(AND(I136=[6]Datos!$B$215,J136=[6]Datos!$B$219),[6]Datos!$D$213,IF(AND(I136=[6]Datos!$B$215,J136=[6]Datos!$B$220),[6]Datos!$E$213,IF(AND(I136=[6]Datos!$B$215,J136=[6]Datos!$B$221),[6]Datos!$F$213,IF(AND(I136=[6]Datos!$B$216,J136=[6]Datos!$B$219),[6]Datos!$D$212,IF(AND(I136=[6]Datos!$B$216,J136=[6]Datos!$B$220),[6]Datos!$E$212,IF(AND(I136=[6]Datos!$B$216,J136=[6]Datos!$B$221),[6]Datos!$F$212,"-")))))))))))))))</f>
        <v>EXTREMA 60</v>
      </c>
      <c r="L136" s="15" t="s">
        <v>177</v>
      </c>
      <c r="M136" s="37" t="s">
        <v>60</v>
      </c>
      <c r="N136" s="13" t="s">
        <v>50</v>
      </c>
      <c r="O136" s="13" t="s">
        <v>50</v>
      </c>
      <c r="P136" s="13" t="s">
        <v>50</v>
      </c>
      <c r="Q136" s="13" t="s">
        <v>51</v>
      </c>
      <c r="R136" s="13" t="s">
        <v>50</v>
      </c>
      <c r="S136" s="13" t="s">
        <v>50</v>
      </c>
      <c r="T136" s="13" t="s">
        <v>50</v>
      </c>
      <c r="U136" s="40">
        <f>((IF(N136=[6]Datos!$B$233,15,0))/100)+((IF(O136=[6]Datos!$B$229,5,0))/100)+((IF(P136=[6]Datos!$B$233,15,0))/100)+((IF(Q136=[6]Datos!$B$231,10,0))/100)+((IF(R136=[6]Datos!$B$233,15,0))/100)+((IF(S136=[6]Datos!$B$231,10,0))/100)+((IF(T136=[6]Datos!$B$235,30,0))/100)</f>
        <v>0.1</v>
      </c>
      <c r="V136" s="130">
        <f>IF(ISERROR(((IF(M136=[6]Datos!$B$224,U136,0))+(IF(M137=[6]Datos!$B$224,U137,0))+(IF(M138=[6]Datos!$B$224,U138,0))+(IF(M139=[6]Datos!$B$224,U139,0))+(IF(M140=[6]Datos!$B$224,U140,0))+(IF(M141=[6]Datos!$B$224,U141,0)))/((IF(M136=[6]Datos!$B$224,1,0))+(IF(M137=[6]Datos!$B$224,1,0))+(IF(M138=[6]Datos!$B$224,1,0))+(IF(M139=[6]Datos!$B$224,1,0))+(IF(M140=[6]Datos!$B$224,1,0))+(IF(M141=[6]Datos!$B$224,1,0)))),0,(((IF(M136=[6]Datos!$B$224,U136,0))+(IF(M137=[6]Datos!$B$224,U137,0))+(IF(M138=[6]Datos!$B$224,U138,0))+(IF(M139=[6]Datos!$B$224,U139,0))+(IF(M140=[6]Datos!$B$224,U140,0))+(IF(M141=[6]Datos!$B$224,U141,0)))/((IF(M136=[6]Datos!$B$224,1,0))+(IF(M137=[6]Datos!$B$224,1,0))+(IF(M138=[6]Datos!$B$224,1,0))+(IF(M139=[6]Datos!$B$224,1,0))+(IF(M140=[6]Datos!$B$224,1,0))+(IF(M141=[6]Datos!$B$224,1,0)))))</f>
        <v>0.1</v>
      </c>
      <c r="W136" s="127" t="str">
        <f>IF(I136="","-",(IF(V136&gt;0,(IF(I136=[6]Datos!$B$212,[6]Datos!$B$212,IF(AND(I136=[6]Datos!$B$213,V136&gt;0.49),[6]Datos!$B$212,IF(AND(I136=[6]Datos!$B$214,V136&gt;0.74),[6]Datos!$B$212,IF(AND(I136=[6]Datos!$B$214,V136&lt;0.75,V136&gt;0.49),[6]Datos!$B$213,IF(AND(I136=[6]Datos!$B$215,V136&gt;0.74),[6]Datos!$B$213,IF(AND(I136=[6]Datos!$B$215,V136&lt;0.75,V136&gt;0.49),[6]Datos!$B$214,IF(AND(I136=[6]Datos!$B$216,V136&gt;0.74),[6]Datos!$B$214,IF(AND(I136=[6]Datos!$B$216,V136&lt;0.75,V136&gt;0.49),[6]Datos!$B$215,I136))))))))),I136)))</f>
        <v>Posible - 3</v>
      </c>
      <c r="X136" s="130">
        <f>IF(ISERROR(((IF(M136=[6]Datos!$B$225,U136,0))+(IF(M137=[6]Datos!$B$225,U137,0))+(IF(M138=[6]Datos!$B$225,U138,0))+(IF(M139=[6]Datos!$B$225,U139,0))+(IF(M140=[6]Datos!$B$225,U140,0))+(IF(M141=[6]Datos!$B$225,U141,0))+(IF(M136=[6]Datos!$B$226,U136,0))+(IF(M137=[6]Datos!$B$226,U137,0))+(IF(M138=[6]Datos!$B$226,U138,0))+(IF(M139=[6]Datos!$B$226,U139,0))+(IF(M140=[6]Datos!$B$226,U140,0))+(IF(M141=[6]Datos!$B$226,U141,0)))/((IF(M136=[6]Datos!$B$225,1,0))+(IF(M137=[6]Datos!$B$225,1,0))+(IF(M138=[6]Datos!$B$225,1,0))+(IF(M139=[6]Datos!$B$225,1,0))+(IF(M140=[6]Datos!$B$225,1,0))+(IF(M141=[6]Datos!$B$225,1,0))+(IF(M136=[6]Datos!$B$226,1,0))+(IF(M137=[6]Datos!$B$226,1,0))+(IF(M138=[6]Datos!$B$226,1,0))+(IF(M139=[6]Datos!$B$226,1,0))+(IF(M140=[6]Datos!$B$226,1,0))+(IF(M141=[6]Datos!$B$226,1,0)))),0,((IF(M136=[6]Datos!$B$225,U136,0))+(IF(M137=[6]Datos!$B$225,U137,0))+(IF(M138=[6]Datos!$B$225,U138,0))+(IF(M139=[6]Datos!$B$225,U139,0))+(IF(M140=[6]Datos!$B$225,U140,0))+(IF(M141=[6]Datos!$B$225,U141,0))+(IF(M136=[6]Datos!$B$226,U136,0))+(IF(M137=[6]Datos!$B$226,U137,0))+(IF(M138=[6]Datos!$B$226,U138,0))+(IF(M139=[6]Datos!$B$226,U139,0))+(IF(M140=[6]Datos!$B$226,U140,0))+(IF(M141=[6]Datos!$B$226,U141,0)))/((IF(M136=[6]Datos!$B$225,1,0))+(IF(M137=[6]Datos!$B$225,1,0))+(IF(M138=[6]Datos!$B$225,1,0))+(IF(M139=[6]Datos!$B$225,1,0))+(IF(M140=[6]Datos!$B$225,1,0))+(IF(M141=[6]Datos!$B$225,1,0))+(IF(M136=[6]Datos!$B$226,1,0))+(IF(M137=[6]Datos!$B$226,1,0))+(IF(M138=[6]Datos!$B$226,1,0))+(IF(M139=[6]Datos!$B$226,1,0))+(IF(M140=[6]Datos!$B$226,1,0))+(IF(M141=[6]Datos!$B$226,1,0))))</f>
        <v>0.60000000000000009</v>
      </c>
      <c r="Y136" s="127" t="str">
        <f>IF(J136="","-",(IF(X136&gt;0,(IF(J136=[6]Datos!$B$219,[6]Datos!$B$219,IF(AND(J136=[6]Datos!$B$220,X136&gt;0.49),[6]Datos!$B$219,IF(AND(J136=[6]Datos!$B$221,X136&gt;0.74),[6]Datos!$B$219,IF(AND(J136=[6]Datos!$B$221,X136&lt;0.75,X136&gt;0.49),[6]Datos!$B$220,IF(AND(J136=[6]Datos!$B$222,X136&gt;0.74),[6]Datos!$B$220,IF(AND(J136=[6]Datos!$B$222,X136&lt;0.75,X136&gt;0.49),[6]Datos!$B$221,IF(AND(J136=[6]Datos!$B$223,X136&gt;0.74),[6]Datos!$B$221,IF(AND(J136=[6]Datos!$B$223,X136&lt;0.75,X136&gt;0.49),[6]Datos!$B$222,J136))))))))),J136)))</f>
        <v>Mayor - 10</v>
      </c>
      <c r="Z136" s="133" t="str">
        <f>IF(AND(W136=[6]Datos!$B$212,Y136=[6]Datos!$B$219),[6]Datos!$D$216,IF(AND(W136=[6]Datos!$B$212,Y136=[6]Datos!$B$220),[6]Datos!$E$216,IF(AND(W136=[6]Datos!$B$212,Y136=[6]Datos!$B$221),[6]Datos!$F$216,IF(AND(W136=[6]Datos!$B$213,Y136=[6]Datos!$B$219),[6]Datos!$D$215,IF(AND(W136=[6]Datos!$B$213,Y136=[6]Datos!$B$220),[6]Datos!$E$215,IF(AND(W136=[6]Datos!$B$213,Y136=[6]Datos!$B$221),[6]Datos!$F$215,IF(AND(W136=[6]Datos!$B$214,Y136=[6]Datos!$B$219),[6]Datos!$D$214,IF(AND(W136=[6]Datos!$B$214,Y136=[6]Datos!$B$220),[6]Datos!$E$214,IF(AND(W136=[6]Datos!$B$214,Y136=[6]Datos!$B$221),[6]Datos!$F$214,IF(AND(W136=[6]Datos!$B$215,Y136=[6]Datos!$B$219),[6]Datos!$D$213,IF(AND(W136=[6]Datos!$B$215,Y136=[6]Datos!$B$220),[6]Datos!$E$213,IF(AND(W136=[6]Datos!$B$215,Y136=[6]Datos!$B$221),[6]Datos!$F$213,IF(AND(W136=[6]Datos!$B$216,Y136=[6]Datos!$B$219),[6]Datos!$D$212,IF(AND(W136=[6]Datos!$B$216,Y136=[6]Datos!$B$220),[6]Datos!$E$212,IF(AND(W136=[6]Datos!$B$216,Y136=[6]Datos!$B$221),[6]Datos!$F$212,"-")))))))))))))))</f>
        <v>ALTA 30</v>
      </c>
      <c r="AA136" s="11"/>
      <c r="AB136" s="11"/>
      <c r="AC136" s="11"/>
      <c r="AD136" s="11"/>
      <c r="AE136" s="11"/>
      <c r="AF136" s="11"/>
      <c r="AG136" s="16"/>
    </row>
    <row r="137" spans="1:33" ht="50.25" customHeight="1" x14ac:dyDescent="0.25">
      <c r="A137" s="140"/>
      <c r="B137" s="141"/>
      <c r="C137" s="145"/>
      <c r="D137" s="136" t="s">
        <v>485</v>
      </c>
      <c r="E137" s="136"/>
      <c r="F137" s="136"/>
      <c r="G137" s="170"/>
      <c r="H137" s="35" t="s">
        <v>178</v>
      </c>
      <c r="I137" s="149"/>
      <c r="J137" s="149"/>
      <c r="K137" s="134"/>
      <c r="L137" s="22" t="s">
        <v>422</v>
      </c>
      <c r="M137" s="38" t="s">
        <v>81</v>
      </c>
      <c r="N137" s="20" t="s">
        <v>48</v>
      </c>
      <c r="O137" s="20" t="s">
        <v>49</v>
      </c>
      <c r="P137" s="20" t="s">
        <v>50</v>
      </c>
      <c r="Q137" s="20" t="s">
        <v>51</v>
      </c>
      <c r="R137" s="20" t="s">
        <v>48</v>
      </c>
      <c r="S137" s="20" t="s">
        <v>51</v>
      </c>
      <c r="T137" s="20" t="s">
        <v>52</v>
      </c>
      <c r="U137" s="41">
        <f>((IF(N137=[6]Datos!$B$233,15,0))/100)+((IF(O137=[6]Datos!$B$229,5,0))/100)+((IF(P137=[6]Datos!$B$233,15,0))/100)+((IF(Q137=[6]Datos!$B$231,10,0))/100)+((IF(R137=[6]Datos!$B$233,15,0))/100)+((IF(S137=[6]Datos!$B$231,10,0))/100)+((IF(T137=[6]Datos!$B$235,30,0))/100)</f>
        <v>0.85000000000000009</v>
      </c>
      <c r="V137" s="131"/>
      <c r="W137" s="128"/>
      <c r="X137" s="131"/>
      <c r="Y137" s="128"/>
      <c r="Z137" s="134"/>
      <c r="AA137" s="18"/>
      <c r="AB137" s="18"/>
      <c r="AC137" s="18"/>
      <c r="AD137" s="18"/>
      <c r="AE137" s="18"/>
      <c r="AF137" s="18"/>
      <c r="AG137" s="23"/>
    </row>
    <row r="138" spans="1:33" ht="33.75" customHeight="1" x14ac:dyDescent="0.25">
      <c r="A138" s="140"/>
      <c r="B138" s="141"/>
      <c r="C138" s="145"/>
      <c r="D138" s="136" t="s">
        <v>179</v>
      </c>
      <c r="E138" s="136"/>
      <c r="F138" s="136"/>
      <c r="G138" s="170"/>
      <c r="H138" s="35" t="s">
        <v>180</v>
      </c>
      <c r="I138" s="149"/>
      <c r="J138" s="149"/>
      <c r="K138" s="134"/>
      <c r="L138" s="22" t="s">
        <v>181</v>
      </c>
      <c r="M138" s="38" t="s">
        <v>47</v>
      </c>
      <c r="N138" s="20" t="s">
        <v>50</v>
      </c>
      <c r="O138" s="20" t="s">
        <v>50</v>
      </c>
      <c r="P138" s="20" t="s">
        <v>50</v>
      </c>
      <c r="Q138" s="20" t="s">
        <v>51</v>
      </c>
      <c r="R138" s="20" t="s">
        <v>50</v>
      </c>
      <c r="S138" s="20" t="s">
        <v>50</v>
      </c>
      <c r="T138" s="20" t="s">
        <v>50</v>
      </c>
      <c r="U138" s="41">
        <f>((IF(N138=[6]Datos!$B$233,15,0))/100)+((IF(O138=[6]Datos!$B$229,5,0))/100)+((IF(P138=[6]Datos!$B$233,15,0))/100)+((IF(Q138=[6]Datos!$B$231,10,0))/100)+((IF(R138=[6]Datos!$B$233,15,0))/100)+((IF(S138=[6]Datos!$B$231,10,0))/100)+((IF(T138=[6]Datos!$B$235,30,0))/100)</f>
        <v>0.1</v>
      </c>
      <c r="V138" s="131"/>
      <c r="W138" s="128"/>
      <c r="X138" s="131"/>
      <c r="Y138" s="128"/>
      <c r="Z138" s="134"/>
      <c r="AA138" s="18"/>
      <c r="AB138" s="18"/>
      <c r="AC138" s="18"/>
      <c r="AD138" s="18"/>
      <c r="AE138" s="18"/>
      <c r="AF138" s="18"/>
      <c r="AG138" s="23"/>
    </row>
    <row r="139" spans="1:33" ht="51" customHeight="1" x14ac:dyDescent="0.25">
      <c r="A139" s="140"/>
      <c r="B139" s="141"/>
      <c r="C139" s="145"/>
      <c r="D139" s="136" t="s">
        <v>182</v>
      </c>
      <c r="E139" s="136"/>
      <c r="F139" s="136"/>
      <c r="G139" s="170"/>
      <c r="H139" s="96" t="s">
        <v>409</v>
      </c>
      <c r="I139" s="149"/>
      <c r="J139" s="149"/>
      <c r="K139" s="134"/>
      <c r="L139" s="22" t="s">
        <v>183</v>
      </c>
      <c r="M139" s="38" t="s">
        <v>81</v>
      </c>
      <c r="N139" s="20" t="s">
        <v>48</v>
      </c>
      <c r="O139" s="20" t="s">
        <v>49</v>
      </c>
      <c r="P139" s="20" t="s">
        <v>50</v>
      </c>
      <c r="Q139" s="20" t="s">
        <v>51</v>
      </c>
      <c r="R139" s="20" t="s">
        <v>48</v>
      </c>
      <c r="S139" s="20" t="s">
        <v>51</v>
      </c>
      <c r="T139" s="20" t="s">
        <v>52</v>
      </c>
      <c r="U139" s="41">
        <f>((IF(N139=[6]Datos!$B$233,15,0))/100)+((IF(O139=[6]Datos!$B$229,5,0))/100)+((IF(P139=[6]Datos!$B$233,15,0))/100)+((IF(Q139=[6]Datos!$B$231,10,0))/100)+((IF(R139=[6]Datos!$B$233,15,0))/100)+((IF(S139=[6]Datos!$B$231,10,0))/100)+((IF(T139=[6]Datos!$B$235,30,0))/100)</f>
        <v>0.85000000000000009</v>
      </c>
      <c r="V139" s="131"/>
      <c r="W139" s="128"/>
      <c r="X139" s="131"/>
      <c r="Y139" s="128"/>
      <c r="Z139" s="134"/>
      <c r="AA139" s="18"/>
      <c r="AB139" s="18"/>
      <c r="AC139" s="18"/>
      <c r="AD139" s="18"/>
      <c r="AE139" s="18"/>
      <c r="AF139" s="18"/>
      <c r="AG139" s="23"/>
    </row>
    <row r="140" spans="1:33" ht="33.75" customHeight="1" x14ac:dyDescent="0.25">
      <c r="A140" s="140"/>
      <c r="B140" s="141"/>
      <c r="C140" s="145"/>
      <c r="D140" s="136" t="s">
        <v>486</v>
      </c>
      <c r="E140" s="136"/>
      <c r="F140" s="136"/>
      <c r="G140" s="170"/>
      <c r="H140" s="35"/>
      <c r="I140" s="149"/>
      <c r="J140" s="149"/>
      <c r="K140" s="134"/>
      <c r="L140" s="22"/>
      <c r="M140" s="38"/>
      <c r="N140" s="20"/>
      <c r="O140" s="20"/>
      <c r="P140" s="20"/>
      <c r="Q140" s="20"/>
      <c r="R140" s="20"/>
      <c r="S140" s="20"/>
      <c r="T140" s="20"/>
      <c r="U140" s="41">
        <f>((IF(N140=[6]Datos!$B$233,15,0))/100)+((IF(O140=[6]Datos!$B$229,5,0))/100)+((IF(P140=[6]Datos!$B$233,15,0))/100)+((IF(Q140=[6]Datos!$B$231,10,0))/100)+((IF(R140=[6]Datos!$B$233,15,0))/100)+((IF(S140=[6]Datos!$B$231,10,0))/100)+((IF(T140=[6]Datos!$B$235,30,0))/100)</f>
        <v>0</v>
      </c>
      <c r="V140" s="131"/>
      <c r="W140" s="128"/>
      <c r="X140" s="131"/>
      <c r="Y140" s="128"/>
      <c r="Z140" s="134"/>
      <c r="AA140" s="18"/>
      <c r="AB140" s="18"/>
      <c r="AC140" s="18"/>
      <c r="AD140" s="18"/>
      <c r="AE140" s="18"/>
      <c r="AF140" s="18"/>
      <c r="AG140" s="23"/>
    </row>
    <row r="141" spans="1:33" ht="39.75" customHeight="1" thickBot="1" x14ac:dyDescent="0.3">
      <c r="A141" s="176"/>
      <c r="B141" s="177"/>
      <c r="C141" s="178"/>
      <c r="D141" s="175" t="s">
        <v>487</v>
      </c>
      <c r="E141" s="175"/>
      <c r="F141" s="175"/>
      <c r="G141" s="179"/>
      <c r="H141" s="115"/>
      <c r="I141" s="180"/>
      <c r="J141" s="180"/>
      <c r="K141" s="174"/>
      <c r="L141" s="34"/>
      <c r="M141" s="116"/>
      <c r="N141" s="114"/>
      <c r="O141" s="114"/>
      <c r="P141" s="114"/>
      <c r="Q141" s="114"/>
      <c r="R141" s="114"/>
      <c r="S141" s="114"/>
      <c r="T141" s="114"/>
      <c r="U141" s="118">
        <f>((IF(N141=[6]Datos!$B$233,15,0))/100)+((IF(O141=[6]Datos!$B$229,5,0))/100)+((IF(P141=[6]Datos!$B$233,15,0))/100)+((IF(Q141=[6]Datos!$B$231,10,0))/100)+((IF(R141=[6]Datos!$B$233,15,0))/100)+((IF(S141=[6]Datos!$B$231,10,0))/100)+((IF(T141=[6]Datos!$B$235,30,0))/100)</f>
        <v>0</v>
      </c>
      <c r="V141" s="173"/>
      <c r="W141" s="172"/>
      <c r="X141" s="173"/>
      <c r="Y141" s="172"/>
      <c r="Z141" s="174"/>
      <c r="AA141" s="119"/>
      <c r="AB141" s="119"/>
      <c r="AC141" s="119"/>
      <c r="AD141" s="119"/>
      <c r="AE141" s="119"/>
      <c r="AF141" s="119"/>
      <c r="AG141" s="120"/>
    </row>
    <row r="142" spans="1:33" ht="57.75" customHeight="1" x14ac:dyDescent="0.25">
      <c r="A142" s="151" t="s">
        <v>534</v>
      </c>
      <c r="B142" s="127"/>
      <c r="C142" s="154" t="s">
        <v>440</v>
      </c>
      <c r="D142" s="169" t="s">
        <v>488</v>
      </c>
      <c r="E142" s="169"/>
      <c r="F142" s="147" t="s">
        <v>184</v>
      </c>
      <c r="G142" s="169" t="s">
        <v>391</v>
      </c>
      <c r="H142" s="107" t="s">
        <v>185</v>
      </c>
      <c r="I142" s="148" t="s">
        <v>45</v>
      </c>
      <c r="J142" s="148" t="s">
        <v>97</v>
      </c>
      <c r="K142" s="133" t="str">
        <f>IF(AND(I142=[7]Datos!$B$212,J142=[7]Datos!$B$219),[7]Datos!$D$216,IF(AND(I142=[7]Datos!$B$212,J142=[7]Datos!$B$220),[7]Datos!$E$216,IF(AND(I142=[7]Datos!$B$212,J142=[7]Datos!$B$221),[7]Datos!$F$216,IF(AND(I142=[7]Datos!$B$213,J142=[7]Datos!$B$219),[7]Datos!$D$215,IF(AND(I142=[7]Datos!$B$213,J142=[7]Datos!$B$220),[7]Datos!$E$215,IF(AND(I142=[7]Datos!$B$213,J142=[7]Datos!$B$221),[7]Datos!$F$215,IF(AND(I142=[7]Datos!$B$214,J142=[7]Datos!$B$219),[7]Datos!$D$214,IF(AND(I142=[7]Datos!$B$214,J142=[7]Datos!$B$220),[7]Datos!$E$214,IF(AND(I142=[7]Datos!$B$214,J142=[7]Datos!$B$221),[7]Datos!$F$214,IF(AND(I142=[7]Datos!$B$215,J142=[7]Datos!$B$219),[7]Datos!$D$213,IF(AND(I142=[7]Datos!$B$215,J142=[7]Datos!$B$220),[7]Datos!$E$213,IF(AND(I142=[7]Datos!$B$215,J142=[7]Datos!$B$221),[7]Datos!$F$213,IF(AND(I142=[7]Datos!$B$216,J142=[7]Datos!$B$219),[7]Datos!$D$212,IF(AND(I142=[7]Datos!$B$216,J142=[7]Datos!$B$220),[7]Datos!$E$212,IF(AND(I142=[7]Datos!$B$216,J142=[7]Datos!$B$221),[7]Datos!$F$212,"-")))))))))))))))</f>
        <v>MODERADA 15</v>
      </c>
      <c r="L142" s="15" t="s">
        <v>424</v>
      </c>
      <c r="M142" s="108" t="s">
        <v>47</v>
      </c>
      <c r="N142" s="104" t="s">
        <v>50</v>
      </c>
      <c r="O142" s="104" t="s">
        <v>49</v>
      </c>
      <c r="P142" s="104" t="s">
        <v>50</v>
      </c>
      <c r="Q142" s="104" t="s">
        <v>51</v>
      </c>
      <c r="R142" s="104" t="s">
        <v>48</v>
      </c>
      <c r="S142" s="104" t="s">
        <v>51</v>
      </c>
      <c r="T142" s="104" t="s">
        <v>52</v>
      </c>
      <c r="U142" s="99">
        <f>((IF(N142=[7]Datos!$B$233,15,0))/100)+((IF(O142=[7]Datos!$B$229,5,0))/100)+((IF(P142=[7]Datos!$B$233,15,0))/100)+((IF(Q142=[7]Datos!$B$231,10,0))/100)+((IF(R142=[7]Datos!$B$233,15,0))/100)+((IF(S142=[7]Datos!$B$231,10,0))/100)+((IF(T142=[7]Datos!$B$235,30,0))/100)</f>
        <v>0.7</v>
      </c>
      <c r="V142" s="130">
        <f>IF(ISERROR(((IF(M142=[7]Datos!$B$224,U142,0))+(IF(M143=[7]Datos!$B$224,U143,0))+(IF(M144=[7]Datos!$B$224,U144,0))+(IF(M145=[7]Datos!$B$224,U145,0))+(IF(M146=[7]Datos!$B$224,U146,0))+(IF(M147=[7]Datos!$B$224,U147,0)))/((IF(M142=[7]Datos!$B$224,1,0))+(IF(M143=[7]Datos!$B$224,1,0))+(IF(M144=[7]Datos!$B$224,1,0))+(IF(M145=[7]Datos!$B$224,1,0))+(IF(M146=[7]Datos!$B$224,1,0))+(IF(M147=[7]Datos!$B$224,1,0)))),0,(((IF(M142=[7]Datos!$B$224,U142,0))+(IF(M143=[7]Datos!$B$224,U143,0))+(IF(M144=[7]Datos!$B$224,U144,0))+(IF(M145=[7]Datos!$B$224,U145,0))+(IF(M146=[7]Datos!$B$224,U146,0))+(IF(M147=[7]Datos!$B$224,U147,0)))/((IF(M142=[7]Datos!$B$224,1,0))+(IF(M143=[7]Datos!$B$224,1,0))+(IF(M144=[7]Datos!$B$224,1,0))+(IF(M145=[7]Datos!$B$224,1,0))+(IF(M146=[7]Datos!$B$224,1,0))+(IF(M147=[7]Datos!$B$224,1,0)))))</f>
        <v>0.42499999999999999</v>
      </c>
      <c r="W142" s="127" t="str">
        <f>IF(I142="","-",(IF(V142&gt;0,(IF(I142=[7]Datos!$B$212,[7]Datos!$B$212,IF(AND(I142=[7]Datos!$B$213,V142&gt;0.49),[7]Datos!$B$212,IF(AND(I142=[7]Datos!$B$214,V142&gt;0.74),[7]Datos!$B$212,IF(AND(I142=[7]Datos!$B$214,V142&lt;0.75,V142&gt;0.49),[7]Datos!$B$213,IF(AND(I142=[7]Datos!$B$215,V142&gt;0.74),[7]Datos!$B$213,IF(AND(I142=[7]Datos!$B$215,V142&lt;0.75,V142&gt;0.49),[7]Datos!$B$214,IF(AND(I142=[7]Datos!$B$216,V142&gt;0.74),[7]Datos!$B$214,IF(AND(I142=[7]Datos!$B$216,V142&lt;0.75,V142&gt;0.49),[7]Datos!$B$215,I142))))))))),I142)))</f>
        <v>Posible - 3</v>
      </c>
      <c r="X142" s="130">
        <f>IF(ISERROR(((IF(M142=[7]Datos!$B$225,U142,0))+(IF(M143=[7]Datos!$B$225,U143,0))+(IF(M144=[7]Datos!$B$225,U144,0))+(IF(M145=[7]Datos!$B$225,U145,0))+(IF(M146=[7]Datos!$B$225,U146,0))+(IF(M147=[7]Datos!$B$225,U147,0))+(IF(M142=[7]Datos!$B$226,U142,0))+(IF(M143=[7]Datos!$B$226,U143,0))+(IF(M144=[7]Datos!$B$226,U144,0))+(IF(M145=[7]Datos!$B$226,U145,0))+(IF(M146=[7]Datos!$B$226,U146,0))+(IF(M147=[7]Datos!$B$226,U147,0)))/((IF(M142=[7]Datos!$B$225,1,0))+(IF(M143=[7]Datos!$B$225,1,0))+(IF(M144=[7]Datos!$B$225,1,0))+(IF(M145=[7]Datos!$B$225,1,0))+(IF(M146=[7]Datos!$B$225,1,0))+(IF(M147=[7]Datos!$B$225,1,0))+(IF(M142=[7]Datos!$B$226,1,0))+(IF(M143=[7]Datos!$B$226,1,0))+(IF(M144=[7]Datos!$B$226,1,0))+(IF(M145=[7]Datos!$B$226,1,0))+(IF(M146=[7]Datos!$B$226,1,0))+(IF(M147=[7]Datos!$B$226,1,0)))),0,((IF(M142=[7]Datos!$B$225,U142,0))+(IF(M143=[7]Datos!$B$225,U143,0))+(IF(M144=[7]Datos!$B$225,U144,0))+(IF(M145=[7]Datos!$B$225,U145,0))+(IF(M146=[7]Datos!$B$225,U146,0))+(IF(M147=[7]Datos!$B$225,U147,0))+(IF(M142=[7]Datos!$B$226,U142,0))+(IF(M143=[7]Datos!$B$226,U143,0))+(IF(M144=[7]Datos!$B$226,U144,0))+(IF(M145=[7]Datos!$B$226,U145,0))+(IF(M146=[7]Datos!$B$226,U146,0))+(IF(M147=[7]Datos!$B$226,U147,0)))/((IF(M142=[7]Datos!$B$225,1,0))+(IF(M143=[7]Datos!$B$225,1,0))+(IF(M144=[7]Datos!$B$225,1,0))+(IF(M145=[7]Datos!$B$225,1,0))+(IF(M146=[7]Datos!$B$225,1,0))+(IF(M147=[7]Datos!$B$225,1,0))+(IF(M142=[7]Datos!$B$226,1,0))+(IF(M143=[7]Datos!$B$226,1,0))+(IF(M144=[7]Datos!$B$226,1,0))+(IF(M145=[7]Datos!$B$226,1,0))+(IF(M146=[7]Datos!$B$226,1,0))+(IF(M147=[7]Datos!$B$226,1,0))))</f>
        <v>0.45000000000000007</v>
      </c>
      <c r="Y142" s="127" t="str">
        <f>IF(J142="","-",(IF(X142&gt;0,(IF(J142=[7]Datos!$B$219,[7]Datos!$B$219,IF(AND(J142=[7]Datos!$B$220,X142&gt;0.49),[7]Datos!$B$219,IF(AND(J142=[7]Datos!$B$221,X142&gt;0.74),[7]Datos!$B$219,IF(AND(J142=[7]Datos!$B$221,X142&lt;0.75,X142&gt;0.49),[7]Datos!$B$220,IF(AND(J142=[7]Datos!$B$222,X142&gt;0.74),[7]Datos!$B$220,IF(AND(J142=[7]Datos!$B$222,X142&lt;0.75,X142&gt;0.49),[7]Datos!$B$221,IF(AND(J142=[7]Datos!$B$223,X142&gt;0.74),[7]Datos!$B$221,IF(AND(J142=[7]Datos!$B$223,X142&lt;0.75,X142&gt;0.49),[7]Datos!$B$222,J142))))))))),J142)))</f>
        <v>Moderado - 5</v>
      </c>
      <c r="Z142" s="133" t="str">
        <f>IF(AND(W142=[7]Datos!$B$212,Y142=[7]Datos!$B$219),[7]Datos!$D$216,IF(AND(W142=[7]Datos!$B$212,Y142=[7]Datos!$B$220),[7]Datos!$E$216,IF(AND(W142=[7]Datos!$B$212,Y142=[7]Datos!$B$221),[7]Datos!$F$216,IF(AND(W142=[7]Datos!$B$213,Y142=[7]Datos!$B$219),[7]Datos!$D$215,IF(AND(W142=[7]Datos!$B$213,Y142=[7]Datos!$B$220),[7]Datos!$E$215,IF(AND(W142=[7]Datos!$B$213,Y142=[7]Datos!$B$221),[7]Datos!$F$215,IF(AND(W142=[7]Datos!$B$214,Y142=[7]Datos!$B$219),[7]Datos!$D$214,IF(AND(W142=[7]Datos!$B$214,Y142=[7]Datos!$B$220),[7]Datos!$E$214,IF(AND(W142=[7]Datos!$B$214,Y142=[7]Datos!$B$221),[7]Datos!$F$214,IF(AND(W142=[7]Datos!$B$215,Y142=[7]Datos!$B$219),[7]Datos!$D$213,IF(AND(W142=[7]Datos!$B$215,Y142=[7]Datos!$B$220),[7]Datos!$E$213,IF(AND(W142=[7]Datos!$B$215,Y142=[7]Datos!$B$221),[7]Datos!$F$213,IF(AND(W142=[7]Datos!$B$216,Y142=[7]Datos!$B$219),[7]Datos!$D$212,IF(AND(W142=[7]Datos!$B$216,Y142=[7]Datos!$B$220),[7]Datos!$E$212,IF(AND(W142=[7]Datos!$B$216,Y142=[7]Datos!$B$221),[7]Datos!$F$212,"-")))))))))))))))</f>
        <v>MODERADA 15</v>
      </c>
      <c r="AA142" s="11"/>
      <c r="AB142" s="11"/>
      <c r="AC142" s="11"/>
      <c r="AD142" s="11"/>
      <c r="AE142" s="11"/>
      <c r="AF142" s="11"/>
      <c r="AG142" s="16"/>
    </row>
    <row r="143" spans="1:33" ht="36.75" customHeight="1" x14ac:dyDescent="0.25">
      <c r="A143" s="152"/>
      <c r="B143" s="128"/>
      <c r="C143" s="155"/>
      <c r="D143" s="170" t="s">
        <v>489</v>
      </c>
      <c r="E143" s="170"/>
      <c r="F143" s="136"/>
      <c r="G143" s="170"/>
      <c r="H143" s="111" t="s">
        <v>410</v>
      </c>
      <c r="I143" s="149"/>
      <c r="J143" s="149"/>
      <c r="K143" s="134"/>
      <c r="L143" s="22" t="s">
        <v>423</v>
      </c>
      <c r="M143" s="109" t="s">
        <v>60</v>
      </c>
      <c r="N143" s="105" t="s">
        <v>48</v>
      </c>
      <c r="O143" s="105" t="s">
        <v>49</v>
      </c>
      <c r="P143" s="105" t="s">
        <v>50</v>
      </c>
      <c r="Q143" s="105" t="s">
        <v>51</v>
      </c>
      <c r="R143" s="105" t="s">
        <v>48</v>
      </c>
      <c r="S143" s="105" t="s">
        <v>50</v>
      </c>
      <c r="T143" s="105" t="s">
        <v>50</v>
      </c>
      <c r="U143" s="100">
        <f>((IF(N143=[7]Datos!$B$233,15,0))/100)+((IF(O143=[7]Datos!$B$229,5,0))/100)+((IF(P143=[7]Datos!$B$233,15,0))/100)+((IF(Q143=[7]Datos!$B$231,10,0))/100)+((IF(R143=[7]Datos!$B$233,15,0))/100)+((IF(S143=[7]Datos!$B$231,10,0))/100)+((IF(T143=[7]Datos!$B$235,30,0))/100)</f>
        <v>0.45000000000000007</v>
      </c>
      <c r="V143" s="131"/>
      <c r="W143" s="128"/>
      <c r="X143" s="131"/>
      <c r="Y143" s="128"/>
      <c r="Z143" s="134"/>
      <c r="AA143" s="18"/>
      <c r="AB143" s="18"/>
      <c r="AC143" s="18"/>
      <c r="AD143" s="18"/>
      <c r="AE143" s="18"/>
      <c r="AF143" s="18"/>
      <c r="AG143" s="23"/>
    </row>
    <row r="144" spans="1:33" ht="69" customHeight="1" x14ac:dyDescent="0.25">
      <c r="A144" s="152"/>
      <c r="B144" s="128"/>
      <c r="C144" s="155"/>
      <c r="D144" s="136" t="s">
        <v>490</v>
      </c>
      <c r="E144" s="136"/>
      <c r="F144" s="136"/>
      <c r="G144" s="170"/>
      <c r="H144" s="111" t="s">
        <v>411</v>
      </c>
      <c r="I144" s="149"/>
      <c r="J144" s="149"/>
      <c r="K144" s="134"/>
      <c r="L144" s="22" t="s">
        <v>425</v>
      </c>
      <c r="M144" s="109" t="s">
        <v>47</v>
      </c>
      <c r="N144" s="105" t="s">
        <v>50</v>
      </c>
      <c r="O144" s="105" t="s">
        <v>49</v>
      </c>
      <c r="P144" s="105" t="s">
        <v>50</v>
      </c>
      <c r="Q144" s="105" t="s">
        <v>51</v>
      </c>
      <c r="R144" s="105" t="s">
        <v>50</v>
      </c>
      <c r="S144" s="105" t="s">
        <v>50</v>
      </c>
      <c r="T144" s="105" t="s">
        <v>50</v>
      </c>
      <c r="U144" s="100">
        <f>((IF(N144=[7]Datos!$B$233,15,0))/100)+((IF(O144=[7]Datos!$B$229,5,0))/100)+((IF(P144=[7]Datos!$B$233,15,0))/100)+((IF(Q144=[7]Datos!$B$231,10,0))/100)+((IF(R144=[7]Datos!$B$233,15,0))/100)+((IF(S144=[7]Datos!$B$231,10,0))/100)+((IF(T144=[7]Datos!$B$235,30,0))/100)</f>
        <v>0.15000000000000002</v>
      </c>
      <c r="V144" s="131"/>
      <c r="W144" s="128"/>
      <c r="X144" s="131"/>
      <c r="Y144" s="128"/>
      <c r="Z144" s="134"/>
      <c r="AA144" s="18"/>
      <c r="AB144" s="18"/>
      <c r="AC144" s="18"/>
      <c r="AD144" s="18"/>
      <c r="AE144" s="18"/>
      <c r="AF144" s="18"/>
      <c r="AG144" s="23"/>
    </row>
    <row r="145" spans="1:33" ht="36" customHeight="1" x14ac:dyDescent="0.25">
      <c r="A145" s="152"/>
      <c r="B145" s="128"/>
      <c r="C145" s="155"/>
      <c r="D145" s="170" t="s">
        <v>491</v>
      </c>
      <c r="E145" s="170"/>
      <c r="F145" s="136"/>
      <c r="G145" s="170"/>
      <c r="H145" s="102" t="s">
        <v>186</v>
      </c>
      <c r="I145" s="149"/>
      <c r="J145" s="149"/>
      <c r="K145" s="134"/>
      <c r="L145" s="22"/>
      <c r="M145" s="109"/>
      <c r="N145" s="105"/>
      <c r="O145" s="105"/>
      <c r="P145" s="105"/>
      <c r="Q145" s="105"/>
      <c r="R145" s="105"/>
      <c r="S145" s="105"/>
      <c r="T145" s="105"/>
      <c r="U145" s="100">
        <f>((IF(N145=[7]Datos!$B$233,15,0))/100)+((IF(O145=[7]Datos!$B$229,5,0))/100)+((IF(P145=[7]Datos!$B$233,15,0))/100)+((IF(Q145=[7]Datos!$B$231,10,0))/100)+((IF(R145=[7]Datos!$B$233,15,0))/100)+((IF(S145=[7]Datos!$B$231,10,0))/100)+((IF(T145=[7]Datos!$B$235,30,0))/100)</f>
        <v>0</v>
      </c>
      <c r="V145" s="131"/>
      <c r="W145" s="128"/>
      <c r="X145" s="131"/>
      <c r="Y145" s="128"/>
      <c r="Z145" s="134"/>
      <c r="AA145" s="18"/>
      <c r="AB145" s="18"/>
      <c r="AC145" s="18"/>
      <c r="AD145" s="18"/>
      <c r="AE145" s="18"/>
      <c r="AF145" s="18"/>
      <c r="AG145" s="23"/>
    </row>
    <row r="146" spans="1:33" x14ac:dyDescent="0.25">
      <c r="A146" s="152"/>
      <c r="B146" s="128"/>
      <c r="C146" s="155"/>
      <c r="D146" s="136"/>
      <c r="E146" s="136"/>
      <c r="F146" s="136"/>
      <c r="G146" s="170"/>
      <c r="H146" s="102" t="s">
        <v>187</v>
      </c>
      <c r="I146" s="149"/>
      <c r="J146" s="149"/>
      <c r="K146" s="134"/>
      <c r="L146" s="22"/>
      <c r="M146" s="109"/>
      <c r="N146" s="105"/>
      <c r="O146" s="105"/>
      <c r="P146" s="105"/>
      <c r="Q146" s="105"/>
      <c r="R146" s="105"/>
      <c r="S146" s="105"/>
      <c r="T146" s="105"/>
      <c r="U146" s="100">
        <f>((IF(N146=[7]Datos!$B$233,15,0))/100)+((IF(O146=[7]Datos!$B$229,5,0))/100)+((IF(P146=[7]Datos!$B$233,15,0))/100)+((IF(Q146=[7]Datos!$B$231,10,0))/100)+((IF(R146=[7]Datos!$B$233,15,0))/100)+((IF(S146=[7]Datos!$B$231,10,0))/100)+((IF(T146=[7]Datos!$B$235,30,0))/100)</f>
        <v>0</v>
      </c>
      <c r="V146" s="131"/>
      <c r="W146" s="128"/>
      <c r="X146" s="131"/>
      <c r="Y146" s="128"/>
      <c r="Z146" s="134"/>
      <c r="AA146" s="18"/>
      <c r="AB146" s="18"/>
      <c r="AC146" s="18"/>
      <c r="AD146" s="18"/>
      <c r="AE146" s="18"/>
      <c r="AF146" s="18"/>
      <c r="AG146" s="23"/>
    </row>
    <row r="147" spans="1:33" ht="15.75" thickBot="1" x14ac:dyDescent="0.3">
      <c r="A147" s="153"/>
      <c r="B147" s="129"/>
      <c r="C147" s="156"/>
      <c r="D147" s="137"/>
      <c r="E147" s="137"/>
      <c r="F147" s="137"/>
      <c r="G147" s="171"/>
      <c r="H147" s="103"/>
      <c r="I147" s="150"/>
      <c r="J147" s="150"/>
      <c r="K147" s="135"/>
      <c r="L147" s="49"/>
      <c r="M147" s="110"/>
      <c r="N147" s="106"/>
      <c r="O147" s="106"/>
      <c r="P147" s="106"/>
      <c r="Q147" s="106"/>
      <c r="R147" s="106"/>
      <c r="S147" s="106"/>
      <c r="T147" s="106"/>
      <c r="U147" s="101">
        <f>((IF(N147=[7]Datos!$B$233,15,0))/100)+((IF(O147=[7]Datos!$B$229,5,0))/100)+((IF(P147=[7]Datos!$B$233,15,0))/100)+((IF(Q147=[7]Datos!$B$231,10,0))/100)+((IF(R147=[7]Datos!$B$233,15,0))/100)+((IF(S147=[7]Datos!$B$231,10,0))/100)+((IF(T147=[7]Datos!$B$235,30,0))/100)</f>
        <v>0</v>
      </c>
      <c r="V147" s="132"/>
      <c r="W147" s="129"/>
      <c r="X147" s="132"/>
      <c r="Y147" s="129"/>
      <c r="Z147" s="135"/>
      <c r="AA147" s="26"/>
      <c r="AB147" s="26"/>
      <c r="AC147" s="26"/>
      <c r="AD147" s="26"/>
      <c r="AE147" s="26"/>
      <c r="AF147" s="26"/>
      <c r="AG147" s="30"/>
    </row>
    <row r="148" spans="1:33" ht="60" x14ac:dyDescent="0.25">
      <c r="A148" s="138" t="s">
        <v>188</v>
      </c>
      <c r="B148" s="139"/>
      <c r="C148" s="144" t="s">
        <v>444</v>
      </c>
      <c r="D148" s="169" t="s">
        <v>492</v>
      </c>
      <c r="E148" s="169"/>
      <c r="F148" s="169" t="s">
        <v>392</v>
      </c>
      <c r="G148" s="169" t="s">
        <v>393</v>
      </c>
      <c r="H148" s="50" t="s">
        <v>189</v>
      </c>
      <c r="I148" s="148" t="s">
        <v>190</v>
      </c>
      <c r="J148" s="148" t="s">
        <v>46</v>
      </c>
      <c r="K148" s="133" t="str">
        <f>IF(AND(I148=[8]Datos!$B$212,J148=[8]Datos!$B$219),[8]Datos!$D$216,IF(AND(I148=[8]Datos!$B$212,J148=[8]Datos!$B$220),[8]Datos!$E$216,IF(AND(I148=[8]Datos!$B$212,J148=[8]Datos!$B$221),[8]Datos!$F$216,IF(AND(I148=[8]Datos!$B$213,J148=[8]Datos!$B$219),[8]Datos!$D$215,IF(AND(I148=[8]Datos!$B$213,J148=[8]Datos!$B$220),[8]Datos!$E$215,IF(AND(I148=[8]Datos!$B$213,J148=[8]Datos!$B$221),[8]Datos!$F$215,IF(AND(I148=[8]Datos!$B$214,J148=[8]Datos!$B$219),[8]Datos!$D$214,IF(AND(I148=[8]Datos!$B$214,J148=[8]Datos!$B$220),[8]Datos!$E$214,IF(AND(I148=[8]Datos!$B$214,J148=[8]Datos!$B$221),[8]Datos!$F$214,IF(AND(I148=[8]Datos!$B$215,J148=[8]Datos!$B$219),[8]Datos!$D$213,IF(AND(I148=[8]Datos!$B$215,J148=[8]Datos!$B$220),[8]Datos!$E$213,IF(AND(I148=[8]Datos!$B$215,J148=[8]Datos!$B$221),[8]Datos!$F$213,IF(AND(I148=[8]Datos!$B$216,J148=[8]Datos!$B$219),[8]Datos!$D$212,IF(AND(I148=[8]Datos!$B$216,J148=[8]Datos!$B$220),[8]Datos!$E$212,IF(AND(I148=[8]Datos!$B$216,J148=[8]Datos!$B$221),[8]Datos!$F$212,"-")))))))))))))))</f>
        <v>EXTREMA 100</v>
      </c>
      <c r="L148" s="15" t="s">
        <v>426</v>
      </c>
      <c r="M148" s="37" t="s">
        <v>60</v>
      </c>
      <c r="N148" s="13" t="s">
        <v>50</v>
      </c>
      <c r="O148" s="13" t="s">
        <v>50</v>
      </c>
      <c r="P148" s="13" t="s">
        <v>50</v>
      </c>
      <c r="Q148" s="13" t="s">
        <v>50</v>
      </c>
      <c r="R148" s="13" t="s">
        <v>50</v>
      </c>
      <c r="S148" s="13" t="s">
        <v>50</v>
      </c>
      <c r="T148" s="13" t="s">
        <v>50</v>
      </c>
      <c r="U148" s="40">
        <f>((IF(N148=[8]Datos!$B$233,15,0))/100)+((IF(O148=[8]Datos!$B$229,5,0))/100)+((IF(P148=[8]Datos!$B$233,15,0))/100)+((IF(Q148=[8]Datos!$B$231,10,0))/100)+((IF(R148=[8]Datos!$B$233,15,0))/100)+((IF(S148=[8]Datos!$B$231,10,0))/100)+((IF(T148=[8]Datos!$B$235,30,0))/100)</f>
        <v>0</v>
      </c>
      <c r="V148" s="130">
        <f>IF(ISERROR(((IF(M148=[8]Datos!$B$224,U148,0))+(IF(M149=[8]Datos!$B$224,U149,0))+(IF(M150=[8]Datos!$B$224,U150,0))+(IF(M151=[8]Datos!$B$224,U151,0))+(IF(M152=[8]Datos!$B$224,U152,0))+(IF(M153=[8]Datos!$B$224,U153,0)))/((IF(M148=[8]Datos!$B$224,1,0))+(IF(M149=[8]Datos!$B$224,1,0))+(IF(M150=[8]Datos!$B$224,1,0))+(IF(M151=[8]Datos!$B$224,1,0))+(IF(M152=[8]Datos!$B$224,1,0))+(IF(M153=[8]Datos!$B$224,1,0)))),0,(((IF(M148=[8]Datos!$B$224,U148,0))+(IF(M149=[8]Datos!$B$224,U149,0))+(IF(M150=[8]Datos!$B$224,U150,0))+(IF(M151=[8]Datos!$B$224,U151,0))+(IF(M152=[8]Datos!$B$224,U152,0))+(IF(M153=[8]Datos!$B$224,U153,0)))/((IF(M148=[8]Datos!$B$224,1,0))+(IF(M149=[8]Datos!$B$224,1,0))+(IF(M150=[8]Datos!$B$224,1,0))+(IF(M151=[8]Datos!$B$224,1,0))+(IF(M152=[8]Datos!$B$224,1,0))+(IF(M153=[8]Datos!$B$224,1,0)))))</f>
        <v>0</v>
      </c>
      <c r="W148" s="127" t="str">
        <f>IF(I148="","-",(IF(V148&gt;0,(IF(I148=[8]Datos!$B$212,[8]Datos!$B$212,IF(AND(I148=[8]Datos!$B$213,V148&gt;0.49),[8]Datos!$B$212,IF(AND(I148=[8]Datos!$B$214,V148&gt;0.74),[8]Datos!$B$212,IF(AND(I148=[8]Datos!$B$214,V148&lt;0.75,V148&gt;0.49),[8]Datos!$B$213,IF(AND(I148=[8]Datos!$B$215,V148&gt;0.74),[8]Datos!$B$213,IF(AND(I148=[8]Datos!$B$215,V148&lt;0.75,V148&gt;0.49),[8]Datos!$B$214,IF(AND(I148=[8]Datos!$B$216,V148&gt;0.74),[8]Datos!$B$214,IF(AND(I148=[8]Datos!$B$216,V148&lt;0.75,V148&gt;0.49),[8]Datos!$B$215,I148))))))))),I148)))</f>
        <v>Casi seguro - 5</v>
      </c>
      <c r="X148" s="130">
        <f>IF(ISERROR(((IF(M148=[8]Datos!$B$225,U148,0))+(IF(M149=[8]Datos!$B$225,U149,0))+(IF(M150=[8]Datos!$B$225,U150,0))+(IF(M151=[8]Datos!$B$225,U151,0))+(IF(M152=[8]Datos!$B$225,U152,0))+(IF(M153=[8]Datos!$B$225,U153,0))+(IF(M148=[8]Datos!$B$226,U148,0))+(IF(M149=[8]Datos!$B$226,U149,0))+(IF(M150=[8]Datos!$B$226,U150,0))+(IF(M151=[8]Datos!$B$226,U151,0))+(IF(M152=[8]Datos!$B$226,U152,0))+(IF(M153=[8]Datos!$B$226,U153,0)))/((IF(M148=[8]Datos!$B$225,1,0))+(IF(M149=[8]Datos!$B$225,1,0))+(IF(M150=[8]Datos!$B$225,1,0))+(IF(M151=[8]Datos!$B$225,1,0))+(IF(M152=[8]Datos!$B$225,1,0))+(IF(M153=[8]Datos!$B$225,1,0))+(IF(M148=[8]Datos!$B$226,1,0))+(IF(M149=[8]Datos!$B$226,1,0))+(IF(M150=[8]Datos!$B$226,1,0))+(IF(M151=[8]Datos!$B$226,1,0))+(IF(M152=[8]Datos!$B$226,1,0))+(IF(M153=[8]Datos!$B$226,1,0)))),0,((IF(M148=[8]Datos!$B$225,U148,0))+(IF(M149=[8]Datos!$B$225,U149,0))+(IF(M150=[8]Datos!$B$225,U150,0))+(IF(M151=[8]Datos!$B$225,U151,0))+(IF(M152=[8]Datos!$B$225,U152,0))+(IF(M153=[8]Datos!$B$225,U153,0))+(IF(M148=[8]Datos!$B$226,U148,0))+(IF(M149=[8]Datos!$B$226,U149,0))+(IF(M150=[8]Datos!$B$226,U150,0))+(IF(M151=[8]Datos!$B$226,U151,0))+(IF(M152=[8]Datos!$B$226,U152,0))+(IF(M153=[8]Datos!$B$226,U153,0)))/((IF(M148=[8]Datos!$B$225,1,0))+(IF(M149=[8]Datos!$B$225,1,0))+(IF(M150=[8]Datos!$B$225,1,0))+(IF(M151=[8]Datos!$B$225,1,0))+(IF(M152=[8]Datos!$B$225,1,0))+(IF(M153=[8]Datos!$B$225,1,0))+(IF(M148=[8]Datos!$B$226,1,0))+(IF(M149=[8]Datos!$B$226,1,0))+(IF(M150=[8]Datos!$B$226,1,0))+(IF(M151=[8]Datos!$B$226,1,0))+(IF(M152=[8]Datos!$B$226,1,0))+(IF(M153=[8]Datos!$B$226,1,0))))</f>
        <v>0</v>
      </c>
      <c r="Y148" s="127" t="str">
        <f>IF(J148="","-",(IF(X148&gt;0,(IF(J148=[8]Datos!$B$219,[8]Datos!$B$219,IF(AND(J148=[8]Datos!$B$220,X148&gt;0.49),[8]Datos!$B$219,IF(AND(J148=[8]Datos!$B$221,X148&gt;0.74),[8]Datos!$B$219,IF(AND(J148=[8]Datos!$B$221,X148&lt;0.75,X148&gt;0.49),[8]Datos!$B$220,IF(AND(J148=[8]Datos!$B$222,X148&gt;0.74),[8]Datos!$B$220,IF(AND(J148=[8]Datos!$B$222,X148&lt;0.75,X148&gt;0.49),[8]Datos!$B$221,IF(AND(J148=[8]Datos!$B$223,X148&gt;0.74),[8]Datos!$B$221,IF(AND(J148=[8]Datos!$B$223,X148&lt;0.75,X148&gt;0.49),[8]Datos!$B$222,J148))))))))),J148)))</f>
        <v>Catastrófico - 20</v>
      </c>
      <c r="Z148" s="133" t="str">
        <f>IF(AND(W148=[8]Datos!$B$212,Y148=[8]Datos!$B$219),[8]Datos!$D$216,IF(AND(W148=[8]Datos!$B$212,Y148=[8]Datos!$B$220),[8]Datos!$E$216,IF(AND(W148=[8]Datos!$B$212,Y148=[8]Datos!$B$221),[8]Datos!$F$216,IF(AND(W148=[8]Datos!$B$213,Y148=[8]Datos!$B$219),[8]Datos!$D$215,IF(AND(W148=[8]Datos!$B$213,Y148=[8]Datos!$B$220),[8]Datos!$E$215,IF(AND(W148=[8]Datos!$B$213,Y148=[8]Datos!$B$221),[8]Datos!$F$215,IF(AND(W148=[8]Datos!$B$214,Y148=[8]Datos!$B$219),[8]Datos!$D$214,IF(AND(W148=[8]Datos!$B$214,Y148=[8]Datos!$B$220),[8]Datos!$E$214,IF(AND(W148=[8]Datos!$B$214,Y148=[8]Datos!$B$221),[8]Datos!$F$214,IF(AND(W148=[8]Datos!$B$215,Y148=[8]Datos!$B$219),[8]Datos!$D$213,IF(AND(W148=[8]Datos!$B$215,Y148=[8]Datos!$B$220),[8]Datos!$E$213,IF(AND(W148=[8]Datos!$B$215,Y148=[8]Datos!$B$221),[8]Datos!$F$213,IF(AND(W148=[8]Datos!$B$216,Y148=[8]Datos!$B$219),[8]Datos!$D$212,IF(AND(W148=[8]Datos!$B$216,Y148=[8]Datos!$B$220),[8]Datos!$E$212,IF(AND(W148=[8]Datos!$B$216,Y148=[8]Datos!$B$221),[8]Datos!$F$212,"-")))))))))))))))</f>
        <v>EXTREMA 100</v>
      </c>
      <c r="AA148" s="51">
        <v>43191</v>
      </c>
      <c r="AB148" s="11" t="s">
        <v>520</v>
      </c>
      <c r="AC148" s="11" t="s">
        <v>191</v>
      </c>
      <c r="AD148" s="51">
        <v>43374</v>
      </c>
      <c r="AE148" s="11" t="s">
        <v>433</v>
      </c>
      <c r="AF148" s="11" t="s">
        <v>192</v>
      </c>
      <c r="AG148" s="16" t="s">
        <v>193</v>
      </c>
    </row>
    <row r="149" spans="1:33" ht="45" x14ac:dyDescent="0.25">
      <c r="A149" s="140"/>
      <c r="B149" s="141"/>
      <c r="C149" s="145"/>
      <c r="D149" s="136"/>
      <c r="E149" s="136"/>
      <c r="F149" s="170"/>
      <c r="G149" s="170"/>
      <c r="H149" s="22" t="s">
        <v>412</v>
      </c>
      <c r="I149" s="149"/>
      <c r="J149" s="149"/>
      <c r="K149" s="134"/>
      <c r="L149" s="22" t="s">
        <v>427</v>
      </c>
      <c r="M149" s="38" t="s">
        <v>60</v>
      </c>
      <c r="N149" s="20" t="s">
        <v>50</v>
      </c>
      <c r="O149" s="20" t="s">
        <v>50</v>
      </c>
      <c r="P149" s="20" t="s">
        <v>50</v>
      </c>
      <c r="Q149" s="20" t="s">
        <v>50</v>
      </c>
      <c r="R149" s="20" t="s">
        <v>50</v>
      </c>
      <c r="S149" s="20" t="s">
        <v>50</v>
      </c>
      <c r="T149" s="20" t="s">
        <v>50</v>
      </c>
      <c r="U149" s="41">
        <f>((IF(N149=[8]Datos!$B$233,15,0))/100)+((IF(O149=[8]Datos!$B$229,5,0))/100)+((IF(P149=[8]Datos!$B$233,15,0))/100)+((IF(Q149=[8]Datos!$B$231,10,0))/100)+((IF(R149=[8]Datos!$B$233,15,0))/100)+((IF(S149=[8]Datos!$B$231,10,0))/100)+((IF(T149=[8]Datos!$B$235,30,0))/100)</f>
        <v>0</v>
      </c>
      <c r="V149" s="131"/>
      <c r="W149" s="128"/>
      <c r="X149" s="131"/>
      <c r="Y149" s="128"/>
      <c r="Z149" s="134"/>
      <c r="AA149" s="18"/>
      <c r="AB149" s="18"/>
      <c r="AC149" s="18"/>
      <c r="AD149" s="18"/>
      <c r="AE149" s="18"/>
      <c r="AF149" s="18"/>
      <c r="AG149" s="23"/>
    </row>
    <row r="150" spans="1:33" ht="30" x14ac:dyDescent="0.25">
      <c r="A150" s="140"/>
      <c r="B150" s="141"/>
      <c r="C150" s="145"/>
      <c r="D150" s="136"/>
      <c r="E150" s="136"/>
      <c r="F150" s="170"/>
      <c r="G150" s="170"/>
      <c r="H150" s="22" t="s">
        <v>413</v>
      </c>
      <c r="I150" s="149"/>
      <c r="J150" s="149"/>
      <c r="K150" s="134"/>
      <c r="L150" s="22"/>
      <c r="M150" s="38"/>
      <c r="N150" s="20"/>
      <c r="O150" s="20"/>
      <c r="P150" s="20"/>
      <c r="Q150" s="20"/>
      <c r="R150" s="20"/>
      <c r="S150" s="20"/>
      <c r="T150" s="20"/>
      <c r="U150" s="41">
        <f>((IF(N150=[8]Datos!$B$233,15,0))/100)+((IF(O150=[8]Datos!$B$229,5,0))/100)+((IF(P150=[8]Datos!$B$233,15,0))/100)+((IF(Q150=[8]Datos!$B$231,10,0))/100)+((IF(R150=[8]Datos!$B$233,15,0))/100)+((IF(S150=[8]Datos!$B$231,10,0))/100)+((IF(T150=[8]Datos!$B$235,30,0))/100)</f>
        <v>0</v>
      </c>
      <c r="V150" s="131"/>
      <c r="W150" s="128"/>
      <c r="X150" s="131"/>
      <c r="Y150" s="128"/>
      <c r="Z150" s="134"/>
      <c r="AA150" s="18"/>
      <c r="AB150" s="18"/>
      <c r="AC150" s="18"/>
      <c r="AD150" s="18"/>
      <c r="AE150" s="18"/>
      <c r="AF150" s="18"/>
      <c r="AG150" s="23"/>
    </row>
    <row r="151" spans="1:33" ht="45" x14ac:dyDescent="0.25">
      <c r="A151" s="140"/>
      <c r="B151" s="141"/>
      <c r="C151" s="145"/>
      <c r="D151" s="136"/>
      <c r="E151" s="136"/>
      <c r="F151" s="170"/>
      <c r="G151" s="170"/>
      <c r="H151" s="22" t="s">
        <v>414</v>
      </c>
      <c r="I151" s="149"/>
      <c r="J151" s="149"/>
      <c r="K151" s="134"/>
      <c r="L151" s="22"/>
      <c r="M151" s="38"/>
      <c r="N151" s="20"/>
      <c r="O151" s="20"/>
      <c r="P151" s="20"/>
      <c r="Q151" s="20"/>
      <c r="R151" s="20"/>
      <c r="S151" s="20"/>
      <c r="T151" s="20"/>
      <c r="U151" s="41">
        <f>((IF(N151=[8]Datos!$B$233,15,0))/100)+((IF(O151=[8]Datos!$B$229,5,0))/100)+((IF(P151=[8]Datos!$B$233,15,0))/100)+((IF(Q151=[8]Datos!$B$231,10,0))/100)+((IF(R151=[8]Datos!$B$233,15,0))/100)+((IF(S151=[8]Datos!$B$231,10,0))/100)+((IF(T151=[8]Datos!$B$235,30,0))/100)</f>
        <v>0</v>
      </c>
      <c r="V151" s="131"/>
      <c r="W151" s="128"/>
      <c r="X151" s="131"/>
      <c r="Y151" s="128"/>
      <c r="Z151" s="134"/>
      <c r="AA151" s="18"/>
      <c r="AB151" s="18"/>
      <c r="AC151" s="18"/>
      <c r="AD151" s="18"/>
      <c r="AE151" s="18"/>
      <c r="AF151" s="18"/>
      <c r="AG151" s="23"/>
    </row>
    <row r="152" spans="1:33" x14ac:dyDescent="0.25">
      <c r="A152" s="140"/>
      <c r="B152" s="141"/>
      <c r="C152" s="145"/>
      <c r="D152" s="136"/>
      <c r="E152" s="136"/>
      <c r="F152" s="170"/>
      <c r="G152" s="170"/>
      <c r="H152" s="35"/>
      <c r="I152" s="149"/>
      <c r="J152" s="149"/>
      <c r="K152" s="134"/>
      <c r="L152" s="22"/>
      <c r="M152" s="38"/>
      <c r="N152" s="20"/>
      <c r="O152" s="20"/>
      <c r="P152" s="20"/>
      <c r="Q152" s="20"/>
      <c r="R152" s="20"/>
      <c r="S152" s="20"/>
      <c r="T152" s="20"/>
      <c r="U152" s="41">
        <f>((IF(N152=[8]Datos!$B$233,15,0))/100)+((IF(O152=[8]Datos!$B$229,5,0))/100)+((IF(P152=[8]Datos!$B$233,15,0))/100)+((IF(Q152=[8]Datos!$B$231,10,0))/100)+((IF(R152=[8]Datos!$B$233,15,0))/100)+((IF(S152=[8]Datos!$B$231,10,0))/100)+((IF(T152=[8]Datos!$B$235,30,0))/100)</f>
        <v>0</v>
      </c>
      <c r="V152" s="131"/>
      <c r="W152" s="128"/>
      <c r="X152" s="131"/>
      <c r="Y152" s="128"/>
      <c r="Z152" s="134"/>
      <c r="AA152" s="18"/>
      <c r="AB152" s="18"/>
      <c r="AC152" s="18"/>
      <c r="AD152" s="18"/>
      <c r="AE152" s="18"/>
      <c r="AF152" s="18"/>
      <c r="AG152" s="23"/>
    </row>
    <row r="153" spans="1:33" ht="15.75" thickBot="1" x14ac:dyDescent="0.3">
      <c r="A153" s="142"/>
      <c r="B153" s="143"/>
      <c r="C153" s="146"/>
      <c r="D153" s="137"/>
      <c r="E153" s="137"/>
      <c r="F153" s="171"/>
      <c r="G153" s="171"/>
      <c r="H153" s="36"/>
      <c r="I153" s="150"/>
      <c r="J153" s="150"/>
      <c r="K153" s="135"/>
      <c r="L153" s="49"/>
      <c r="M153" s="39"/>
      <c r="N153" s="28"/>
      <c r="O153" s="28"/>
      <c r="P153" s="28"/>
      <c r="Q153" s="28"/>
      <c r="R153" s="28"/>
      <c r="S153" s="28"/>
      <c r="T153" s="28"/>
      <c r="U153" s="42">
        <f>((IF(N153=[8]Datos!$B$233,15,0))/100)+((IF(O153=[8]Datos!$B$229,5,0))/100)+((IF(P153=[8]Datos!$B$233,15,0))/100)+((IF(Q153=[8]Datos!$B$231,10,0))/100)+((IF(R153=[8]Datos!$B$233,15,0))/100)+((IF(S153=[8]Datos!$B$231,10,0))/100)+((IF(T153=[8]Datos!$B$235,30,0))/100)</f>
        <v>0</v>
      </c>
      <c r="V153" s="132"/>
      <c r="W153" s="129"/>
      <c r="X153" s="132"/>
      <c r="Y153" s="129"/>
      <c r="Z153" s="135"/>
      <c r="AA153" s="26"/>
      <c r="AB153" s="26"/>
      <c r="AC153" s="26"/>
      <c r="AD153" s="26"/>
      <c r="AE153" s="26"/>
      <c r="AF153" s="26"/>
      <c r="AG153" s="30"/>
    </row>
    <row r="154" spans="1:33" ht="40.5" customHeight="1" thickBot="1" x14ac:dyDescent="0.3">
      <c r="A154" s="138" t="s">
        <v>194</v>
      </c>
      <c r="B154" s="139"/>
      <c r="C154" s="144" t="s">
        <v>540</v>
      </c>
      <c r="D154" s="147" t="s">
        <v>493</v>
      </c>
      <c r="E154" s="147"/>
      <c r="F154" s="169" t="s">
        <v>394</v>
      </c>
      <c r="G154" s="169" t="s">
        <v>395</v>
      </c>
      <c r="H154" s="95" t="s">
        <v>415</v>
      </c>
      <c r="I154" s="148" t="s">
        <v>84</v>
      </c>
      <c r="J154" s="148" t="s">
        <v>85</v>
      </c>
      <c r="K154" s="133" t="str">
        <f>IF(AND(I154=[9]Datos!$B$212,J154=[9]Datos!$B$219),[9]Datos!$D$216,IF(AND(I154=[9]Datos!$B$212,J154=[9]Datos!$B$220),[9]Datos!$E$216,IF(AND(I154=[9]Datos!$B$212,J154=[9]Datos!$B$221),[9]Datos!$F$216,IF(AND(I154=[9]Datos!$B$213,J154=[9]Datos!$B$219),[9]Datos!$D$215,IF(AND(I154=[9]Datos!$B$213,J154=[9]Datos!$B$220),[9]Datos!$E$215,IF(AND(I154=[9]Datos!$B$213,J154=[9]Datos!$B$221),[9]Datos!$F$215,IF(AND(I154=[9]Datos!$B$214,J154=[9]Datos!$B$219),[9]Datos!$D$214,IF(AND(I154=[9]Datos!$B$214,J154=[9]Datos!$B$220),[9]Datos!$E$214,IF(AND(I154=[9]Datos!$B$214,J154=[9]Datos!$B$221),[9]Datos!$F$214,IF(AND(I154=[9]Datos!$B$215,J154=[9]Datos!$B$219),[9]Datos!$D$213,IF(AND(I154=[9]Datos!$B$215,J154=[9]Datos!$B$220),[9]Datos!$E$213,IF(AND(I154=[9]Datos!$B$215,J154=[9]Datos!$B$221),[9]Datos!$F$213,IF(AND(I154=[9]Datos!$B$216,J154=[9]Datos!$B$219),[9]Datos!$D$212,IF(AND(I154=[9]Datos!$B$216,J154=[9]Datos!$B$220),[9]Datos!$E$212,IF(AND(I154=[9]Datos!$B$216,J154=[9]Datos!$B$221),[9]Datos!$F$212,"-")))))))))))))))</f>
        <v>ALTA 40</v>
      </c>
      <c r="L154" s="15" t="s">
        <v>195</v>
      </c>
      <c r="M154" s="37" t="s">
        <v>81</v>
      </c>
      <c r="N154" s="13" t="s">
        <v>50</v>
      </c>
      <c r="O154" s="13" t="s">
        <v>50</v>
      </c>
      <c r="P154" s="13" t="s">
        <v>50</v>
      </c>
      <c r="Q154" s="13" t="s">
        <v>51</v>
      </c>
      <c r="R154" s="57" t="s">
        <v>48</v>
      </c>
      <c r="S154" s="57" t="s">
        <v>48</v>
      </c>
      <c r="T154" s="57" t="s">
        <v>48</v>
      </c>
      <c r="U154" s="40">
        <f>((IF(N154=[9]Datos!$B$233,15,0))/100)+((IF(O154=[9]Datos!$B$229,5,0))/100)+((IF(P154=[9]Datos!$B$233,15,0))/100)+((IF(Q154=[9]Datos!$B$231,10,0))/100)+((IF(R154=[9]Datos!$B$233,15,0))/100)+((IF(S154=[9]Datos!$B$231,10,0))/100)+((IF(T154=[9]Datos!$B$235,30,0))/100)</f>
        <v>0.25</v>
      </c>
      <c r="V154" s="130">
        <f>IF(ISERROR(((IF(M154=[9]Datos!$B$224,U154,0))+(IF(M155=[9]Datos!$B$224,U155,0))+(IF(M156=[9]Datos!$B$224,U156,0))+(IF(M157=[9]Datos!$B$224,U157,0))+(IF(M158=[9]Datos!$B$224,U158,0))+(IF(M159=[9]Datos!$B$224,U159,0)))/((IF(M154=[9]Datos!$B$224,1,0))+(IF(M155=[9]Datos!$B$224,1,0))+(IF(M156=[9]Datos!$B$224,1,0))+(IF(M157=[9]Datos!$B$224,1,0))+(IF(M158=[9]Datos!$B$224,1,0))+(IF(M159=[9]Datos!$B$224,1,0)))),0,(((IF(M154=[9]Datos!$B$224,U154,0))+(IF(M155=[9]Datos!$B$224,U155,0))+(IF(M156=[9]Datos!$B$224,U156,0))+(IF(M157=[9]Datos!$B$224,U157,0))+(IF(M158=[9]Datos!$B$224,U158,0))+(IF(M159=[9]Datos!$B$224,U159,0)))/((IF(M154=[9]Datos!$B$224,1,0))+(IF(M155=[9]Datos!$B$224,1,0))+(IF(M156=[9]Datos!$B$224,1,0))+(IF(M157=[9]Datos!$B$224,1,0))+(IF(M158=[9]Datos!$B$224,1,0))+(IF(M159=[9]Datos!$B$224,1,0)))))</f>
        <v>0.375</v>
      </c>
      <c r="W154" s="127" t="str">
        <f>IF(I154="","-",(IF(V154&gt;0,(IF(I154=[9]Datos!$B$212,[9]Datos!$B$212,IF(AND(I154=[9]Datos!$B$213,V154&gt;0.49),[9]Datos!$B$212,IF(AND(I154=[9]Datos!$B$214,V154&gt;0.74),[9]Datos!$B$212,IF(AND(I154=[9]Datos!$B$214,V154&lt;0.75,V154&gt;0.49),[9]Datos!$B$213,IF(AND(I154=[9]Datos!$B$215,V154&gt;0.74),[9]Datos!$B$213,IF(AND(I154=[9]Datos!$B$215,V154&lt;0.75,V154&gt;0.49),[9]Datos!$B$214,IF(AND(I154=[9]Datos!$B$216,V154&gt;0.74),[9]Datos!$B$214,IF(AND(I154=[9]Datos!$B$216,V154&lt;0.75,V154&gt;0.49),[9]Datos!$B$215,I154))))))))),I154)))</f>
        <v>Probable - 4</v>
      </c>
      <c r="X154" s="130">
        <f>IF(ISERROR(((IF(M154=[9]Datos!$B$225,U154,0))+(IF(M155=[9]Datos!$B$225,U155,0))+(IF(M156=[9]Datos!$B$225,U156,0))+(IF(M157=[9]Datos!$B$225,U157,0))+(IF(M158=[9]Datos!$B$225,U158,0))+(IF(M159=[9]Datos!$B$225,U159,0))+(IF(M154=[9]Datos!$B$226,U154,0))+(IF(M155=[9]Datos!$B$226,U155,0))+(IF(M156=[9]Datos!$B$226,U156,0))+(IF(M157=[9]Datos!$B$226,U157,0))+(IF(M158=[9]Datos!$B$226,U158,0))+(IF(M159=[9]Datos!$B$226,U159,0)))/((IF(M154=[9]Datos!$B$225,1,0))+(IF(M155=[9]Datos!$B$225,1,0))+(IF(M156=[9]Datos!$B$225,1,0))+(IF(M157=[9]Datos!$B$225,1,0))+(IF(M158=[9]Datos!$B$225,1,0))+(IF(M159=[9]Datos!$B$225,1,0))+(IF(M154=[9]Datos!$B$226,1,0))+(IF(M155=[9]Datos!$B$226,1,0))+(IF(M156=[9]Datos!$B$226,1,0))+(IF(M157=[9]Datos!$B$226,1,0))+(IF(M158=[9]Datos!$B$226,1,0))+(IF(M159=[9]Datos!$B$226,1,0)))),0,((IF(M154=[9]Datos!$B$225,U154,0))+(IF(M155=[9]Datos!$B$225,U155,0))+(IF(M156=[9]Datos!$B$225,U156,0))+(IF(M157=[9]Datos!$B$225,U157,0))+(IF(M158=[9]Datos!$B$225,U158,0))+(IF(M159=[9]Datos!$B$225,U159,0))+(IF(M154=[9]Datos!$B$226,U154,0))+(IF(M155=[9]Datos!$B$226,U155,0))+(IF(M156=[9]Datos!$B$226,U156,0))+(IF(M157=[9]Datos!$B$226,U157,0))+(IF(M158=[9]Datos!$B$226,U158,0))+(IF(M159=[9]Datos!$B$226,U159,0)))/((IF(M154=[9]Datos!$B$225,1,0))+(IF(M155=[9]Datos!$B$225,1,0))+(IF(M156=[9]Datos!$B$225,1,0))+(IF(M157=[9]Datos!$B$225,1,0))+(IF(M158=[9]Datos!$B$225,1,0))+(IF(M159=[9]Datos!$B$225,1,0))+(IF(M154=[9]Datos!$B$226,1,0))+(IF(M155=[9]Datos!$B$226,1,0))+(IF(M156=[9]Datos!$B$226,1,0))+(IF(M157=[9]Datos!$B$226,1,0))+(IF(M158=[9]Datos!$B$226,1,0))+(IF(M159=[9]Datos!$B$226,1,0))))</f>
        <v>0.375</v>
      </c>
      <c r="Y154" s="127" t="str">
        <f>IF(J154="","-",(IF(X154&gt;0,(IF(J154=[9]Datos!$B$219,[9]Datos!$B$219,IF(AND(J154=[9]Datos!$B$220,X154&gt;0.49),[9]Datos!$B$219,IF(AND(J154=[9]Datos!$B$221,X154&gt;0.74),[9]Datos!$B$219,IF(AND(J154=[9]Datos!$B$221,X154&lt;0.75,X154&gt;0.49),[9]Datos!$B$220,IF(AND(J154=[9]Datos!$B$222,X154&gt;0.74),[9]Datos!$B$220,IF(AND(J154=[9]Datos!$B$222,X154&lt;0.75,X154&gt;0.49),[9]Datos!$B$221,IF(AND(J154=[9]Datos!$B$223,X154&gt;0.74),[9]Datos!$B$221,IF(AND(J154=[9]Datos!$B$223,X154&lt;0.75,X154&gt;0.49),[9]Datos!$B$222,J154))))))))),J154)))</f>
        <v>Mayor - 10</v>
      </c>
      <c r="Z154" s="133" t="str">
        <f>IF(AND(W154=[9]Datos!$B$212,Y154=[9]Datos!$B$219),[9]Datos!$D$216,IF(AND(W154=[9]Datos!$B$212,Y154=[9]Datos!$B$220),[9]Datos!$E$216,IF(AND(W154=[9]Datos!$B$212,Y154=[9]Datos!$B$221),[9]Datos!$F$216,IF(AND(W154=[9]Datos!$B$213,Y154=[9]Datos!$B$219),[9]Datos!$D$215,IF(AND(W154=[9]Datos!$B$213,Y154=[9]Datos!$B$220),[9]Datos!$E$215,IF(AND(W154=[9]Datos!$B$213,Y154=[9]Datos!$B$221),[9]Datos!$F$215,IF(AND(W154=[9]Datos!$B$214,Y154=[9]Datos!$B$219),[9]Datos!$D$214,IF(AND(W154=[9]Datos!$B$214,Y154=[9]Datos!$B$220),[9]Datos!$E$214,IF(AND(W154=[9]Datos!$B$214,Y154=[9]Datos!$B$221),[9]Datos!$F$214,IF(AND(W154=[9]Datos!$B$215,Y154=[9]Datos!$B$219),[9]Datos!$D$213,IF(AND(W154=[9]Datos!$B$215,Y154=[9]Datos!$B$220),[9]Datos!$E$213,IF(AND(W154=[9]Datos!$B$215,Y154=[9]Datos!$B$221),[9]Datos!$F$213,IF(AND(W154=[9]Datos!$B$216,Y154=[9]Datos!$B$219),[9]Datos!$D$212,IF(AND(W154=[9]Datos!$B$216,Y154=[9]Datos!$B$220),[9]Datos!$E$212,IF(AND(W154=[9]Datos!$B$216,Y154=[9]Datos!$B$221),[9]Datos!$F$212,"-")))))))))))))))</f>
        <v>ALTA 40</v>
      </c>
      <c r="AA154" s="11" t="s">
        <v>196</v>
      </c>
      <c r="AB154" s="11" t="s">
        <v>521</v>
      </c>
      <c r="AC154" s="11" t="s">
        <v>197</v>
      </c>
      <c r="AD154" s="11" t="s">
        <v>198</v>
      </c>
      <c r="AE154" s="11"/>
      <c r="AF154" s="11" t="s">
        <v>199</v>
      </c>
      <c r="AG154" s="16" t="s">
        <v>200</v>
      </c>
    </row>
    <row r="155" spans="1:33" ht="66.75" customHeight="1" thickBot="1" x14ac:dyDescent="0.3">
      <c r="A155" s="140"/>
      <c r="B155" s="141"/>
      <c r="C155" s="145"/>
      <c r="D155" s="136" t="s">
        <v>494</v>
      </c>
      <c r="E155" s="136"/>
      <c r="F155" s="170"/>
      <c r="G155" s="170"/>
      <c r="H155" s="96" t="s">
        <v>416</v>
      </c>
      <c r="I155" s="149"/>
      <c r="J155" s="149"/>
      <c r="K155" s="134"/>
      <c r="L155" s="22" t="s">
        <v>201</v>
      </c>
      <c r="M155" s="38" t="s">
        <v>47</v>
      </c>
      <c r="N155" s="20" t="s">
        <v>50</v>
      </c>
      <c r="O155" s="20" t="s">
        <v>50</v>
      </c>
      <c r="P155" s="20" t="s">
        <v>50</v>
      </c>
      <c r="Q155" s="20" t="s">
        <v>51</v>
      </c>
      <c r="R155" s="58" t="s">
        <v>48</v>
      </c>
      <c r="S155" s="58" t="s">
        <v>48</v>
      </c>
      <c r="T155" s="58" t="s">
        <v>48</v>
      </c>
      <c r="U155" s="41">
        <f>((IF(N155=[9]Datos!$B$233,15,0))/100)+((IF(O155=[9]Datos!$B$229,5,0))/100)+((IF(P155=[9]Datos!$B$233,15,0))/100)+((IF(Q155=[9]Datos!$B$231,10,0))/100)+((IF(R155=[9]Datos!$B$233,15,0))/100)+((IF(S155=[9]Datos!$B$231,10,0))/100)+((IF(T155=[9]Datos!$B$235,30,0))/100)</f>
        <v>0.25</v>
      </c>
      <c r="V155" s="131"/>
      <c r="W155" s="128"/>
      <c r="X155" s="131"/>
      <c r="Y155" s="128"/>
      <c r="Z155" s="134"/>
      <c r="AA155" s="18" t="s">
        <v>196</v>
      </c>
      <c r="AB155" s="18" t="s">
        <v>522</v>
      </c>
      <c r="AC155" s="11" t="s">
        <v>197</v>
      </c>
      <c r="AD155" s="11" t="s">
        <v>198</v>
      </c>
      <c r="AE155" s="18"/>
      <c r="AF155" s="11" t="s">
        <v>199</v>
      </c>
      <c r="AG155" s="16" t="s">
        <v>200</v>
      </c>
    </row>
    <row r="156" spans="1:33" ht="29.25" customHeight="1" thickBot="1" x14ac:dyDescent="0.3">
      <c r="A156" s="140"/>
      <c r="B156" s="141"/>
      <c r="C156" s="145"/>
      <c r="D156" s="136" t="s">
        <v>495</v>
      </c>
      <c r="E156" s="136"/>
      <c r="F156" s="170"/>
      <c r="G156" s="170"/>
      <c r="H156" s="35" t="s">
        <v>202</v>
      </c>
      <c r="I156" s="149"/>
      <c r="J156" s="149"/>
      <c r="K156" s="134"/>
      <c r="L156" s="22" t="s">
        <v>203</v>
      </c>
      <c r="M156" s="38" t="s">
        <v>47</v>
      </c>
      <c r="N156" s="20" t="s">
        <v>48</v>
      </c>
      <c r="O156" s="20" t="s">
        <v>49</v>
      </c>
      <c r="P156" s="20" t="s">
        <v>48</v>
      </c>
      <c r="Q156" s="20" t="s">
        <v>50</v>
      </c>
      <c r="R156" s="58" t="s">
        <v>48</v>
      </c>
      <c r="S156" s="58" t="s">
        <v>48</v>
      </c>
      <c r="T156" s="58" t="s">
        <v>48</v>
      </c>
      <c r="U156" s="41">
        <f>((IF(N156=[9]Datos!$B$233,15,0))/100)+((IF(O156=[9]Datos!$B$229,5,0))/100)+((IF(P156=[9]Datos!$B$233,15,0))/100)+((IF(Q156=[9]Datos!$B$231,10,0))/100)+((IF(R156=[9]Datos!$B$233,15,0))/100)+((IF(S156=[9]Datos!$B$231,10,0))/100)+((IF(T156=[9]Datos!$B$235,30,0))/100)</f>
        <v>0.5</v>
      </c>
      <c r="V156" s="131"/>
      <c r="W156" s="128"/>
      <c r="X156" s="131"/>
      <c r="Y156" s="128"/>
      <c r="Z156" s="134"/>
      <c r="AA156" s="18" t="s">
        <v>196</v>
      </c>
      <c r="AB156" s="18" t="s">
        <v>523</v>
      </c>
      <c r="AC156" s="11" t="s">
        <v>197</v>
      </c>
      <c r="AD156" s="11" t="s">
        <v>198</v>
      </c>
      <c r="AE156" s="18"/>
      <c r="AF156" s="11" t="s">
        <v>199</v>
      </c>
      <c r="AG156" s="16" t="s">
        <v>200</v>
      </c>
    </row>
    <row r="157" spans="1:33" x14ac:dyDescent="0.25">
      <c r="A157" s="140"/>
      <c r="B157" s="141"/>
      <c r="C157" s="145"/>
      <c r="D157" s="136"/>
      <c r="E157" s="136"/>
      <c r="F157" s="170"/>
      <c r="G157" s="170"/>
      <c r="H157" s="35"/>
      <c r="I157" s="149"/>
      <c r="J157" s="149"/>
      <c r="K157" s="134"/>
      <c r="L157" s="22" t="s">
        <v>204</v>
      </c>
      <c r="M157" s="38" t="s">
        <v>81</v>
      </c>
      <c r="N157" s="20" t="s">
        <v>48</v>
      </c>
      <c r="O157" s="20" t="s">
        <v>49</v>
      </c>
      <c r="P157" s="20" t="s">
        <v>48</v>
      </c>
      <c r="Q157" s="20" t="s">
        <v>50</v>
      </c>
      <c r="R157" s="80" t="s">
        <v>48</v>
      </c>
      <c r="S157" s="80" t="s">
        <v>48</v>
      </c>
      <c r="T157" s="80" t="s">
        <v>48</v>
      </c>
      <c r="U157" s="41">
        <f>((IF(N157=[9]Datos!$B$233,15,0))/100)+((IF(O157=[9]Datos!$B$229,5,0))/100)+((IF(P157=[9]Datos!$B$233,15,0))/100)+((IF(Q157=[9]Datos!$B$231,10,0))/100)+((IF(R157=[9]Datos!$B$233,15,0))/100)+((IF(S157=[9]Datos!$B$231,10,0))/100)+((IF(T157=[9]Datos!$B$235,30,0))/100)</f>
        <v>0.5</v>
      </c>
      <c r="V157" s="131"/>
      <c r="W157" s="128"/>
      <c r="X157" s="131"/>
      <c r="Y157" s="128"/>
      <c r="Z157" s="134"/>
      <c r="AA157" s="79" t="s">
        <v>196</v>
      </c>
      <c r="AB157" s="18" t="s">
        <v>523</v>
      </c>
      <c r="AC157" s="11" t="s">
        <v>197</v>
      </c>
      <c r="AD157" s="11" t="s">
        <v>198</v>
      </c>
      <c r="AE157" s="18"/>
      <c r="AF157" s="11" t="s">
        <v>199</v>
      </c>
      <c r="AG157" s="16" t="s">
        <v>200</v>
      </c>
    </row>
    <row r="158" spans="1:33" x14ac:dyDescent="0.25">
      <c r="A158" s="140"/>
      <c r="B158" s="141"/>
      <c r="C158" s="145"/>
      <c r="D158" s="136"/>
      <c r="E158" s="136"/>
      <c r="F158" s="170"/>
      <c r="G158" s="170"/>
      <c r="H158" s="35"/>
      <c r="I158" s="149"/>
      <c r="J158" s="149"/>
      <c r="K158" s="134"/>
      <c r="L158" s="22"/>
      <c r="M158" s="38"/>
      <c r="N158" s="20"/>
      <c r="O158" s="20"/>
      <c r="P158" s="20"/>
      <c r="Q158" s="20"/>
      <c r="R158" s="20"/>
      <c r="S158" s="20"/>
      <c r="T158" s="20"/>
      <c r="U158" s="41">
        <f>((IF(N158=[9]Datos!$B$233,15,0))/100)+((IF(O158=[9]Datos!$B$229,5,0))/100)+((IF(P158=[9]Datos!$B$233,15,0))/100)+((IF(Q158=[9]Datos!$B$231,10,0))/100)+((IF(R158=[9]Datos!$B$233,15,0))/100)+((IF(S158=[9]Datos!$B$231,10,0))/100)+((IF(T158=[9]Datos!$B$235,30,0))/100)</f>
        <v>0</v>
      </c>
      <c r="V158" s="131"/>
      <c r="W158" s="128"/>
      <c r="X158" s="131"/>
      <c r="Y158" s="128"/>
      <c r="Z158" s="134"/>
      <c r="AA158" s="18"/>
      <c r="AB158" s="18"/>
      <c r="AC158" s="18"/>
      <c r="AD158" s="18"/>
      <c r="AE158" s="18"/>
      <c r="AF158" s="18"/>
      <c r="AG158" s="23"/>
    </row>
    <row r="159" spans="1:33" ht="15.75" thickBot="1" x14ac:dyDescent="0.3">
      <c r="A159" s="142"/>
      <c r="B159" s="143"/>
      <c r="C159" s="146"/>
      <c r="D159" s="137"/>
      <c r="E159" s="137"/>
      <c r="F159" s="171"/>
      <c r="G159" s="171"/>
      <c r="H159" s="36"/>
      <c r="I159" s="150"/>
      <c r="J159" s="150"/>
      <c r="K159" s="135"/>
      <c r="L159" s="49"/>
      <c r="M159" s="39"/>
      <c r="N159" s="28"/>
      <c r="O159" s="28"/>
      <c r="P159" s="28"/>
      <c r="Q159" s="28"/>
      <c r="R159" s="28"/>
      <c r="S159" s="28"/>
      <c r="T159" s="28"/>
      <c r="U159" s="42">
        <f>((IF(N159=[9]Datos!$B$233,15,0))/100)+((IF(O159=[9]Datos!$B$229,5,0))/100)+((IF(P159=[9]Datos!$B$233,15,0))/100)+((IF(Q159=[9]Datos!$B$231,10,0))/100)+((IF(R159=[9]Datos!$B$233,15,0))/100)+((IF(S159=[9]Datos!$B$231,10,0))/100)+((IF(T159=[9]Datos!$B$235,30,0))/100)</f>
        <v>0</v>
      </c>
      <c r="V159" s="132"/>
      <c r="W159" s="129"/>
      <c r="X159" s="132"/>
      <c r="Y159" s="129"/>
      <c r="Z159" s="135"/>
      <c r="AA159" s="26"/>
      <c r="AB159" s="26"/>
      <c r="AC159" s="26"/>
      <c r="AD159" s="26"/>
      <c r="AE159" s="26"/>
      <c r="AF159" s="26"/>
      <c r="AG159" s="30"/>
    </row>
    <row r="160" spans="1:33" ht="55.5" customHeight="1" thickBot="1" x14ac:dyDescent="0.3">
      <c r="A160" s="138" t="s">
        <v>194</v>
      </c>
      <c r="B160" s="139"/>
      <c r="C160" s="144" t="s">
        <v>540</v>
      </c>
      <c r="D160" s="147" t="s">
        <v>496</v>
      </c>
      <c r="E160" s="147"/>
      <c r="F160" s="147" t="s">
        <v>205</v>
      </c>
      <c r="G160" s="147" t="s">
        <v>206</v>
      </c>
      <c r="H160" s="95" t="s">
        <v>417</v>
      </c>
      <c r="I160" s="148" t="s">
        <v>84</v>
      </c>
      <c r="J160" s="148" t="s">
        <v>85</v>
      </c>
      <c r="K160" s="133" t="str">
        <f>IF(AND(I160=[9]Datos!$B$212,J160=[9]Datos!$B$219),[9]Datos!$D$216,IF(AND(I160=[9]Datos!$B$212,J160=[9]Datos!$B$220),[9]Datos!$E$216,IF(AND(I160=[9]Datos!$B$212,J160=[9]Datos!$B$221),[9]Datos!$F$216,IF(AND(I160=[9]Datos!$B$213,J160=[9]Datos!$B$219),[9]Datos!$D$215,IF(AND(I160=[9]Datos!$B$213,J160=[9]Datos!$B$220),[9]Datos!$E$215,IF(AND(I160=[9]Datos!$B$213,J160=[9]Datos!$B$221),[9]Datos!$F$215,IF(AND(I160=[9]Datos!$B$214,J160=[9]Datos!$B$219),[9]Datos!$D$214,IF(AND(I160=[9]Datos!$B$214,J160=[9]Datos!$B$220),[9]Datos!$E$214,IF(AND(I160=[9]Datos!$B$214,J160=[9]Datos!$B$221),[9]Datos!$F$214,IF(AND(I160=[9]Datos!$B$215,J160=[9]Datos!$B$219),[9]Datos!$D$213,IF(AND(I160=[9]Datos!$B$215,J160=[9]Datos!$B$220),[9]Datos!$E$213,IF(AND(I160=[9]Datos!$B$215,J160=[9]Datos!$B$221),[9]Datos!$F$213,IF(AND(I160=[9]Datos!$B$216,J160=[9]Datos!$B$219),[9]Datos!$D$212,IF(AND(I160=[9]Datos!$B$216,J160=[9]Datos!$B$220),[9]Datos!$E$212,IF(AND(I160=[9]Datos!$B$216,J160=[9]Datos!$B$221),[9]Datos!$F$212,"-")))))))))))))))</f>
        <v>ALTA 40</v>
      </c>
      <c r="L160" s="15" t="s">
        <v>207</v>
      </c>
      <c r="M160" s="37" t="s">
        <v>47</v>
      </c>
      <c r="N160" s="57" t="s">
        <v>50</v>
      </c>
      <c r="O160" s="57" t="s">
        <v>50</v>
      </c>
      <c r="P160" s="13" t="s">
        <v>50</v>
      </c>
      <c r="Q160" s="13"/>
      <c r="R160" s="57" t="s">
        <v>50</v>
      </c>
      <c r="S160" s="57" t="s">
        <v>50</v>
      </c>
      <c r="T160" s="57" t="s">
        <v>50</v>
      </c>
      <c r="U160" s="40">
        <f>((IF(N160=[9]Datos!$B$233,15,0))/100)+((IF(O160=[9]Datos!$B$229,5,0))/100)+((IF(P160=[9]Datos!$B$233,15,0))/100)+((IF(Q160=[9]Datos!$B$231,10,0))/100)+((IF(R160=[9]Datos!$B$233,15,0))/100)+((IF(S160=[9]Datos!$B$231,10,0))/100)+((IF(T160=[9]Datos!$B$235,30,0))/100)</f>
        <v>0</v>
      </c>
      <c r="V160" s="130">
        <f>IF(ISERROR(((IF(M160=[9]Datos!$B$224,U160,0))+(IF(M161=[9]Datos!$B$224,U161,0))+(IF(M162=[9]Datos!$B$224,U162,0))+(IF(M163=[9]Datos!$B$224,U163,0))+(IF(M164=[9]Datos!$B$224,U164,0))+(IF(M165=[9]Datos!$B$224,U165,0)))/((IF(M160=[9]Datos!$B$224,1,0))+(IF(M161=[9]Datos!$B$224,1,0))+(IF(M162=[9]Datos!$B$224,1,0))+(IF(M163=[9]Datos!$B$224,1,0))+(IF(M164=[9]Datos!$B$224,1,0))+(IF(M165=[9]Datos!$B$224,1,0)))),0,(((IF(M160=[9]Datos!$B$224,U160,0))+(IF(M161=[9]Datos!$B$224,U161,0))+(IF(M162=[9]Datos!$B$224,U162,0))+(IF(M163=[9]Datos!$B$224,U163,0))+(IF(M164=[9]Datos!$B$224,U164,0))+(IF(M165=[9]Datos!$B$224,U165,0)))/((IF(M160=[9]Datos!$B$224,1,0))+(IF(M161=[9]Datos!$B$224,1,0))+(IF(M162=[9]Datos!$B$224,1,0))+(IF(M163=[9]Datos!$B$224,1,0))+(IF(M164=[9]Datos!$B$224,1,0))+(IF(M165=[9]Datos!$B$224,1,0)))))</f>
        <v>0</v>
      </c>
      <c r="W160" s="127" t="str">
        <f>IF(I160="","-",(IF(V160&gt;0,(IF(I160=[9]Datos!$B$212,[9]Datos!$B$212,IF(AND(I160=[9]Datos!$B$213,V160&gt;0.49),[9]Datos!$B$212,IF(AND(I160=[9]Datos!$B$214,V160&gt;0.74),[9]Datos!$B$212,IF(AND(I160=[9]Datos!$B$214,V160&lt;0.75,V160&gt;0.49),[9]Datos!$B$213,IF(AND(I160=[9]Datos!$B$215,V160&gt;0.74),[9]Datos!$B$213,IF(AND(I160=[9]Datos!$B$215,V160&lt;0.75,V160&gt;0.49),[9]Datos!$B$214,IF(AND(I160=[9]Datos!$B$216,V160&gt;0.74),[9]Datos!$B$214,IF(AND(I160=[9]Datos!$B$216,V160&lt;0.75,V160&gt;0.49),[9]Datos!$B$215,I160))))))))),I160)))</f>
        <v>Probable - 4</v>
      </c>
      <c r="X160" s="130">
        <f>IF(ISERROR(((IF(M160=[9]Datos!$B$225,U160,0))+(IF(M161=[9]Datos!$B$225,U161,0))+(IF(M162=[9]Datos!$B$225,U162,0))+(IF(M163=[9]Datos!$B$225,U163,0))+(IF(M164=[9]Datos!$B$225,U164,0))+(IF(M165=[9]Datos!$B$225,U165,0))+(IF(M160=[9]Datos!$B$226,U160,0))+(IF(M161=[9]Datos!$B$226,U161,0))+(IF(M162=[9]Datos!$B$226,U162,0))+(IF(M163=[9]Datos!$B$226,U163,0))+(IF(M164=[9]Datos!$B$226,U164,0))+(IF(M165=[9]Datos!$B$226,U165,0)))/((IF(M160=[9]Datos!$B$225,1,0))+(IF(M161=[9]Datos!$B$225,1,0))+(IF(M162=[9]Datos!$B$225,1,0))+(IF(M163=[9]Datos!$B$225,1,0))+(IF(M164=[9]Datos!$B$225,1,0))+(IF(M165=[9]Datos!$B$225,1,0))+(IF(M160=[9]Datos!$B$226,1,0))+(IF(M161=[9]Datos!$B$226,1,0))+(IF(M162=[9]Datos!$B$226,1,0))+(IF(M163=[9]Datos!$B$226,1,0))+(IF(M164=[9]Datos!$B$226,1,0))+(IF(M165=[9]Datos!$B$226,1,0)))),0,((IF(M160=[9]Datos!$B$225,U160,0))+(IF(M161=[9]Datos!$B$225,U161,0))+(IF(M162=[9]Datos!$B$225,U162,0))+(IF(M163=[9]Datos!$B$225,U163,0))+(IF(M164=[9]Datos!$B$225,U164,0))+(IF(M165=[9]Datos!$B$225,U165,0))+(IF(M160=[9]Datos!$B$226,U160,0))+(IF(M161=[9]Datos!$B$226,U161,0))+(IF(M162=[9]Datos!$B$226,U162,0))+(IF(M163=[9]Datos!$B$226,U163,0))+(IF(M164=[9]Datos!$B$226,U164,0))+(IF(M165=[9]Datos!$B$226,U165,0)))/((IF(M160=[9]Datos!$B$225,1,0))+(IF(M161=[9]Datos!$B$225,1,0))+(IF(M162=[9]Datos!$B$225,1,0))+(IF(M163=[9]Datos!$B$225,1,0))+(IF(M164=[9]Datos!$B$225,1,0))+(IF(M165=[9]Datos!$B$225,1,0))+(IF(M160=[9]Datos!$B$226,1,0))+(IF(M161=[9]Datos!$B$226,1,0))+(IF(M162=[9]Datos!$B$226,1,0))+(IF(M163=[9]Datos!$B$226,1,0))+(IF(M164=[9]Datos!$B$226,1,0))+(IF(M165=[9]Datos!$B$226,1,0))))</f>
        <v>0</v>
      </c>
      <c r="Y160" s="127" t="str">
        <f>IF(J160="","-",(IF(X160&gt;0,(IF(J160=[9]Datos!$B$219,[9]Datos!$B$219,IF(AND(J160=[9]Datos!$B$220,X160&gt;0.49),[9]Datos!$B$219,IF(AND(J160=[9]Datos!$B$221,X160&gt;0.74),[9]Datos!$B$219,IF(AND(J160=[9]Datos!$B$221,X160&lt;0.75,X160&gt;0.49),[9]Datos!$B$220,IF(AND(J160=[9]Datos!$B$222,X160&gt;0.74),[9]Datos!$B$220,IF(AND(J160=[9]Datos!$B$222,X160&lt;0.75,X160&gt;0.49),[9]Datos!$B$221,IF(AND(J160=[9]Datos!$B$223,X160&gt;0.74),[9]Datos!$B$221,IF(AND(J160=[9]Datos!$B$223,X160&lt;0.75,X160&gt;0.49),[9]Datos!$B$222,J160))))))))),J160)))</f>
        <v>Mayor - 10</v>
      </c>
      <c r="Z160" s="133" t="str">
        <f>IF(AND(W160=[9]Datos!$B$212,Y160=[9]Datos!$B$219),[9]Datos!$D$216,IF(AND(W160=[9]Datos!$B$212,Y160=[9]Datos!$B$220),[9]Datos!$E$216,IF(AND(W160=[9]Datos!$B$212,Y160=[9]Datos!$B$221),[9]Datos!$F$216,IF(AND(W160=[9]Datos!$B$213,Y160=[9]Datos!$B$219),[9]Datos!$D$215,IF(AND(W160=[9]Datos!$B$213,Y160=[9]Datos!$B$220),[9]Datos!$E$215,IF(AND(W160=[9]Datos!$B$213,Y160=[9]Datos!$B$221),[9]Datos!$F$215,IF(AND(W160=[9]Datos!$B$214,Y160=[9]Datos!$B$219),[9]Datos!$D$214,IF(AND(W160=[9]Datos!$B$214,Y160=[9]Datos!$B$220),[9]Datos!$E$214,IF(AND(W160=[9]Datos!$B$214,Y160=[9]Datos!$B$221),[9]Datos!$F$214,IF(AND(W160=[9]Datos!$B$215,Y160=[9]Datos!$B$219),[9]Datos!$D$213,IF(AND(W160=[9]Datos!$B$215,Y160=[9]Datos!$B$220),[9]Datos!$E$213,IF(AND(W160=[9]Datos!$B$215,Y160=[9]Datos!$B$221),[9]Datos!$F$213,IF(AND(W160=[9]Datos!$B$216,Y160=[9]Datos!$B$219),[9]Datos!$D$212,IF(AND(W160=[9]Datos!$B$216,Y160=[9]Datos!$B$220),[9]Datos!$E$212,IF(AND(W160=[9]Datos!$B$216,Y160=[9]Datos!$B$221),[9]Datos!$F$212,"-")))))))))))))))</f>
        <v>ALTA 40</v>
      </c>
      <c r="AA160" s="11" t="s">
        <v>196</v>
      </c>
      <c r="AB160" s="11" t="s">
        <v>524</v>
      </c>
      <c r="AC160" s="11" t="s">
        <v>208</v>
      </c>
      <c r="AD160" s="11" t="s">
        <v>209</v>
      </c>
      <c r="AE160" s="11"/>
      <c r="AF160" s="11" t="s">
        <v>210</v>
      </c>
      <c r="AG160" s="16" t="s">
        <v>200</v>
      </c>
    </row>
    <row r="161" spans="1:33" ht="30.75" thickBot="1" x14ac:dyDescent="0.3">
      <c r="A161" s="140"/>
      <c r="B161" s="141"/>
      <c r="C161" s="145"/>
      <c r="D161" s="136" t="s">
        <v>497</v>
      </c>
      <c r="E161" s="136"/>
      <c r="F161" s="136"/>
      <c r="G161" s="136"/>
      <c r="H161" s="96" t="s">
        <v>211</v>
      </c>
      <c r="I161" s="149"/>
      <c r="J161" s="149"/>
      <c r="K161" s="134"/>
      <c r="L161" s="22" t="s">
        <v>428</v>
      </c>
      <c r="M161" s="38" t="s">
        <v>81</v>
      </c>
      <c r="N161" s="58" t="s">
        <v>50</v>
      </c>
      <c r="O161" s="58" t="s">
        <v>50</v>
      </c>
      <c r="P161" s="20" t="s">
        <v>50</v>
      </c>
      <c r="Q161" s="20"/>
      <c r="R161" s="58" t="s">
        <v>50</v>
      </c>
      <c r="S161" s="58" t="s">
        <v>50</v>
      </c>
      <c r="T161" s="58" t="s">
        <v>50</v>
      </c>
      <c r="U161" s="41">
        <f>((IF(N161=[9]Datos!$B$233,15,0))/100)+((IF(O161=[9]Datos!$B$229,5,0))/100)+((IF(P161=[9]Datos!$B$233,15,0))/100)+((IF(Q161=[9]Datos!$B$231,10,0))/100)+((IF(R161=[9]Datos!$B$233,15,0))/100)+((IF(S161=[9]Datos!$B$231,10,0))/100)+((IF(T161=[9]Datos!$B$235,30,0))/100)</f>
        <v>0</v>
      </c>
      <c r="V161" s="131"/>
      <c r="W161" s="128"/>
      <c r="X161" s="131"/>
      <c r="Y161" s="128"/>
      <c r="Z161" s="134"/>
      <c r="AA161" s="18" t="s">
        <v>212</v>
      </c>
      <c r="AB161" s="18" t="s">
        <v>525</v>
      </c>
      <c r="AC161" s="18" t="s">
        <v>213</v>
      </c>
      <c r="AD161" s="18" t="s">
        <v>214</v>
      </c>
      <c r="AE161" s="18"/>
      <c r="AF161" s="18" t="s">
        <v>215</v>
      </c>
      <c r="AG161" s="16" t="s">
        <v>200</v>
      </c>
    </row>
    <row r="162" spans="1:33" ht="50.25" customHeight="1" x14ac:dyDescent="0.25">
      <c r="A162" s="140"/>
      <c r="B162" s="141"/>
      <c r="C162" s="145"/>
      <c r="D162" s="170" t="s">
        <v>498</v>
      </c>
      <c r="E162" s="170"/>
      <c r="F162" s="136"/>
      <c r="G162" s="136"/>
      <c r="H162" s="96" t="s">
        <v>414</v>
      </c>
      <c r="I162" s="149"/>
      <c r="J162" s="149"/>
      <c r="K162" s="134"/>
      <c r="L162" s="22" t="s">
        <v>216</v>
      </c>
      <c r="M162" s="38" t="s">
        <v>60</v>
      </c>
      <c r="N162" s="80" t="s">
        <v>50</v>
      </c>
      <c r="O162" s="80" t="s">
        <v>50</v>
      </c>
      <c r="P162" s="20" t="s">
        <v>50</v>
      </c>
      <c r="Q162" s="20"/>
      <c r="R162" s="80" t="s">
        <v>50</v>
      </c>
      <c r="S162" s="80" t="s">
        <v>50</v>
      </c>
      <c r="T162" s="80" t="s">
        <v>50</v>
      </c>
      <c r="U162" s="41">
        <f>((IF(N162=[9]Datos!$B$233,15,0))/100)+((IF(O162=[9]Datos!$B$229,5,0))/100)+((IF(P162=[9]Datos!$B$233,15,0))/100)+((IF(Q162=[9]Datos!$B$231,10,0))/100)+((IF(R162=[9]Datos!$B$233,15,0))/100)+((IF(S162=[9]Datos!$B$231,10,0))/100)+((IF(T162=[9]Datos!$B$235,30,0))/100)</f>
        <v>0</v>
      </c>
      <c r="V162" s="131"/>
      <c r="W162" s="128"/>
      <c r="X162" s="131"/>
      <c r="Y162" s="128"/>
      <c r="Z162" s="134"/>
      <c r="AA162" s="18" t="s">
        <v>196</v>
      </c>
      <c r="AB162" s="18" t="s">
        <v>526</v>
      </c>
      <c r="AC162" s="18" t="s">
        <v>217</v>
      </c>
      <c r="AD162" s="11" t="s">
        <v>209</v>
      </c>
      <c r="AE162" s="18"/>
      <c r="AF162" s="11" t="s">
        <v>210</v>
      </c>
      <c r="AG162" s="16" t="s">
        <v>200</v>
      </c>
    </row>
    <row r="163" spans="1:33" ht="18.75" customHeight="1" x14ac:dyDescent="0.25">
      <c r="A163" s="140"/>
      <c r="B163" s="141"/>
      <c r="C163" s="145"/>
      <c r="D163" s="136"/>
      <c r="E163" s="136"/>
      <c r="F163" s="136"/>
      <c r="G163" s="136"/>
      <c r="H163" s="35" t="s">
        <v>218</v>
      </c>
      <c r="I163" s="149"/>
      <c r="J163" s="149"/>
      <c r="K163" s="134"/>
      <c r="L163" s="22"/>
      <c r="M163" s="38"/>
      <c r="N163" s="20"/>
      <c r="O163" s="20"/>
      <c r="P163" s="20"/>
      <c r="Q163" s="20"/>
      <c r="R163" s="20"/>
      <c r="S163" s="20"/>
      <c r="T163" s="20"/>
      <c r="U163" s="41">
        <f>((IF(N163=[9]Datos!$B$233,15,0))/100)+((IF(O163=[9]Datos!$B$229,5,0))/100)+((IF(P163=[9]Datos!$B$233,15,0))/100)+((IF(Q163=[9]Datos!$B$231,10,0))/100)+((IF(R163=[9]Datos!$B$233,15,0))/100)+((IF(S163=[9]Datos!$B$231,10,0))/100)+((IF(T163=[9]Datos!$B$235,30,0))/100)</f>
        <v>0</v>
      </c>
      <c r="V163" s="131"/>
      <c r="W163" s="128"/>
      <c r="X163" s="131"/>
      <c r="Y163" s="128"/>
      <c r="Z163" s="134"/>
      <c r="AA163" s="18"/>
      <c r="AB163" s="18"/>
      <c r="AC163" s="18"/>
      <c r="AD163" s="18"/>
      <c r="AE163" s="18"/>
      <c r="AF163" s="18"/>
      <c r="AG163" s="23"/>
    </row>
    <row r="164" spans="1:33" x14ac:dyDescent="0.25">
      <c r="A164" s="140"/>
      <c r="B164" s="141"/>
      <c r="C164" s="145"/>
      <c r="D164" s="136"/>
      <c r="E164" s="136"/>
      <c r="F164" s="136"/>
      <c r="G164" s="136"/>
      <c r="H164" s="35"/>
      <c r="I164" s="149"/>
      <c r="J164" s="149"/>
      <c r="K164" s="134"/>
      <c r="L164" s="22"/>
      <c r="M164" s="38"/>
      <c r="N164" s="20"/>
      <c r="O164" s="20"/>
      <c r="P164" s="20"/>
      <c r="Q164" s="20"/>
      <c r="R164" s="20"/>
      <c r="S164" s="20"/>
      <c r="T164" s="20"/>
      <c r="U164" s="41">
        <f>((IF(N164=[9]Datos!$B$233,15,0))/100)+((IF(O164=[9]Datos!$B$229,5,0))/100)+((IF(P164=[9]Datos!$B$233,15,0))/100)+((IF(Q164=[9]Datos!$B$231,10,0))/100)+((IF(R164=[9]Datos!$B$233,15,0))/100)+((IF(S164=[9]Datos!$B$231,10,0))/100)+((IF(T164=[9]Datos!$B$235,30,0))/100)</f>
        <v>0</v>
      </c>
      <c r="V164" s="131"/>
      <c r="W164" s="128"/>
      <c r="X164" s="131"/>
      <c r="Y164" s="128"/>
      <c r="Z164" s="134"/>
      <c r="AA164" s="18"/>
      <c r="AB164" s="18"/>
      <c r="AC164" s="18"/>
      <c r="AD164" s="18"/>
      <c r="AE164" s="18"/>
      <c r="AF164" s="18"/>
      <c r="AG164" s="23"/>
    </row>
    <row r="165" spans="1:33" ht="15.75" thickBot="1" x14ac:dyDescent="0.3">
      <c r="A165" s="142"/>
      <c r="B165" s="143"/>
      <c r="C165" s="146"/>
      <c r="D165" s="137"/>
      <c r="E165" s="137"/>
      <c r="F165" s="137"/>
      <c r="G165" s="137"/>
      <c r="H165" s="36"/>
      <c r="I165" s="150"/>
      <c r="J165" s="150"/>
      <c r="K165" s="135"/>
      <c r="L165" s="49"/>
      <c r="M165" s="39"/>
      <c r="N165" s="28"/>
      <c r="O165" s="28"/>
      <c r="P165" s="28"/>
      <c r="Q165" s="28"/>
      <c r="R165" s="28"/>
      <c r="S165" s="28"/>
      <c r="T165" s="28"/>
      <c r="U165" s="42">
        <f>((IF(N165=[9]Datos!$B$233,15,0))/100)+((IF(O165=[9]Datos!$B$229,5,0))/100)+((IF(P165=[9]Datos!$B$233,15,0))/100)+((IF(Q165=[9]Datos!$B$231,10,0))/100)+((IF(R165=[9]Datos!$B$233,15,0))/100)+((IF(S165=[9]Datos!$B$231,10,0))/100)+((IF(T165=[9]Datos!$B$235,30,0))/100)</f>
        <v>0</v>
      </c>
      <c r="V165" s="132"/>
      <c r="W165" s="129"/>
      <c r="X165" s="132"/>
      <c r="Y165" s="129"/>
      <c r="Z165" s="135"/>
      <c r="AA165" s="26"/>
      <c r="AB165" s="26"/>
      <c r="AC165" s="26"/>
      <c r="AD165" s="26"/>
      <c r="AE165" s="26"/>
      <c r="AF165" s="26"/>
      <c r="AG165" s="30"/>
    </row>
    <row r="166" spans="1:33" ht="30" x14ac:dyDescent="0.25">
      <c r="A166" s="138" t="s">
        <v>219</v>
      </c>
      <c r="B166" s="139"/>
      <c r="C166" s="144" t="s">
        <v>541</v>
      </c>
      <c r="D166" s="147" t="s">
        <v>499</v>
      </c>
      <c r="E166" s="147"/>
      <c r="F166" s="147" t="s">
        <v>436</v>
      </c>
      <c r="G166" s="147" t="s">
        <v>347</v>
      </c>
      <c r="H166" s="43" t="s">
        <v>348</v>
      </c>
      <c r="I166" s="148" t="s">
        <v>45</v>
      </c>
      <c r="J166" s="148" t="s">
        <v>46</v>
      </c>
      <c r="K166" s="133" t="str">
        <f>IF(AND(I166=[10]Datos!$B$212,J166=[10]Datos!$B$219),[10]Datos!$D$216,IF(AND(I166=[10]Datos!$B$212,J166=[10]Datos!$B$220),[10]Datos!$E$216,IF(AND(I166=[10]Datos!$B$212,J166=[10]Datos!$B$221),[10]Datos!$F$216,IF(AND(I166=[10]Datos!$B$213,J166=[10]Datos!$B$219),[10]Datos!$D$215,IF(AND(I166=[10]Datos!$B$213,J166=[10]Datos!$B$220),[10]Datos!$E$215,IF(AND(I166=[10]Datos!$B$213,J166=[10]Datos!$B$221),[10]Datos!$F$215,IF(AND(I166=[10]Datos!$B$214,J166=[10]Datos!$B$219),[10]Datos!$D$214,IF(AND(I166=[10]Datos!$B$214,J166=[10]Datos!$B$220),[10]Datos!$E$214,IF(AND(I166=[10]Datos!$B$214,J166=[10]Datos!$B$221),[10]Datos!$F$214,IF(AND(I166=[10]Datos!$B$215,J166=[10]Datos!$B$219),[10]Datos!$D$213,IF(AND(I166=[10]Datos!$B$215,J166=[10]Datos!$B$220),[10]Datos!$E$213,IF(AND(I166=[10]Datos!$B$215,J166=[10]Datos!$B$221),[10]Datos!$F$213,IF(AND(I166=[10]Datos!$B$216,J166=[10]Datos!$B$219),[10]Datos!$D$212,IF(AND(I166=[10]Datos!$B$216,J166=[10]Datos!$B$220),[10]Datos!$E$212,IF(AND(I166=[10]Datos!$B$216,J166=[10]Datos!$B$221),[10]Datos!$F$212,"-")))))))))))))))</f>
        <v>EXTREMA 60</v>
      </c>
      <c r="L166" s="15" t="s">
        <v>429</v>
      </c>
      <c r="M166" s="37" t="s">
        <v>47</v>
      </c>
      <c r="N166" s="13" t="s">
        <v>48</v>
      </c>
      <c r="O166" s="13" t="s">
        <v>49</v>
      </c>
      <c r="P166" s="20" t="s">
        <v>50</v>
      </c>
      <c r="Q166" s="13" t="s">
        <v>51</v>
      </c>
      <c r="R166" s="20" t="s">
        <v>48</v>
      </c>
      <c r="S166" s="20" t="s">
        <v>51</v>
      </c>
      <c r="T166" s="20" t="s">
        <v>52</v>
      </c>
      <c r="U166" s="40">
        <f>((IF(N166=[10]Datos!$B$233,15,0))/100)+((IF(O166=[10]Datos!$B$229,5,0))/100)+((IF(P166=[10]Datos!$B$233,15,0))/100)+((IF(Q166=[10]Datos!$B$231,10,0))/100)+((IF(R166=[10]Datos!$B$233,15,0))/100)+((IF(S166=[10]Datos!$B$231,10,0))/100)+((IF(T166=[10]Datos!$B$235,30,0))/100)</f>
        <v>0.85000000000000009</v>
      </c>
      <c r="V166" s="130">
        <f>IF(ISERROR(((IF(M166=[10]Datos!$B$224,U166,0))+(IF(M167=[10]Datos!$B$224,U167,0))+(IF(M168=[10]Datos!$B$224,U168,0))+(IF(M169=[10]Datos!$B$224,U169,0))+(IF(M170=[10]Datos!$B$224,U170,0))+(IF(M171=[10]Datos!$B$224,U171,0)))/((IF(M166=[10]Datos!$B$224,1,0))+(IF(M167=[10]Datos!$B$224,1,0))+(IF(M168=[10]Datos!$B$224,1,0))+(IF(M169=[10]Datos!$B$224,1,0))+(IF(M170=[10]Datos!$B$224,1,0))+(IF(M171=[10]Datos!$B$224,1,0)))),0,(((IF(M166=[10]Datos!$B$224,U166,0))+(IF(M167=[10]Datos!$B$224,U167,0))+(IF(M168=[10]Datos!$B$224,U168,0))+(IF(M169=[10]Datos!$B$224,U169,0))+(IF(M170=[10]Datos!$B$224,U170,0))+(IF(M171=[10]Datos!$B$224,U171,0)))/((IF(M166=[10]Datos!$B$224,1,0))+(IF(M167=[10]Datos!$B$224,1,0))+(IF(M168=[10]Datos!$B$224,1,0))+(IF(M169=[10]Datos!$B$224,1,0))+(IF(M170=[10]Datos!$B$224,1,0))+(IF(M171=[10]Datos!$B$224,1,0)))))</f>
        <v>0.81666666666666676</v>
      </c>
      <c r="W166" s="127" t="str">
        <f>IF(I166="","-",(IF(V166&gt;0,(IF(I166=[10]Datos!$B$212,[10]Datos!$B$212,IF(AND(I166=[10]Datos!$B$213,V166&gt;0.49),[10]Datos!$B$212,IF(AND(I166=[10]Datos!$B$214,V166&gt;0.74),[10]Datos!$B$212,IF(AND(I166=[10]Datos!$B$214,V166&lt;0.75,V166&gt;0.49),[10]Datos!$B$213,IF(AND(I166=[10]Datos!$B$215,V166&gt;0.74),[10]Datos!$B$213,IF(AND(I166=[10]Datos!$B$215,V166&lt;0.75,V166&gt;0.49),[10]Datos!$B$214,IF(AND(I166=[10]Datos!$B$216,V166&gt;0.74),[10]Datos!$B$214,IF(AND(I166=[10]Datos!$B$216,V166&lt;0.75,V166&gt;0.49),[10]Datos!$B$215,I166))))))))),I166)))</f>
        <v>Rara vez - 1</v>
      </c>
      <c r="X166" s="130">
        <f>IF(ISERROR(((IF(M166=[10]Datos!$B$225,U166,0))+(IF(M167=[10]Datos!$B$225,U167,0))+(IF(M168=[10]Datos!$B$225,U168,0))+(IF(M169=[10]Datos!$B$225,U169,0))+(IF(M170=[10]Datos!$B$225,U170,0))+(IF(M171=[10]Datos!$B$225,U171,0))+(IF(M166=[10]Datos!$B$226,U166,0))+(IF(M167=[10]Datos!$B$226,U167,0))+(IF(M168=[10]Datos!$B$226,U168,0))+(IF(M169=[10]Datos!$B$226,U169,0))+(IF(M170=[10]Datos!$B$226,U170,0))+(IF(M171=[10]Datos!$B$226,U171,0)))/((IF(M166=[10]Datos!$B$225,1,0))+(IF(M167=[10]Datos!$B$225,1,0))+(IF(M168=[10]Datos!$B$225,1,0))+(IF(M169=[10]Datos!$B$225,1,0))+(IF(M170=[10]Datos!$B$225,1,0))+(IF(M171=[10]Datos!$B$225,1,0))+(IF(M166=[10]Datos!$B$226,1,0))+(IF(M167=[10]Datos!$B$226,1,0))+(IF(M168=[10]Datos!$B$226,1,0))+(IF(M169=[10]Datos!$B$226,1,0))+(IF(M170=[10]Datos!$B$226,1,0))+(IF(M171=[10]Datos!$B$226,1,0)))),0,((IF(M166=[10]Datos!$B$225,U166,0))+(IF(M167=[10]Datos!$B$225,U167,0))+(IF(M168=[10]Datos!$B$225,U168,0))+(IF(M169=[10]Datos!$B$225,U169,0))+(IF(M170=[10]Datos!$B$225,U170,0))+(IF(M171=[10]Datos!$B$225,U171,0))+(IF(M166=[10]Datos!$B$226,U166,0))+(IF(M167=[10]Datos!$B$226,U167,0))+(IF(M168=[10]Datos!$B$226,U168,0))+(IF(M169=[10]Datos!$B$226,U169,0))+(IF(M170=[10]Datos!$B$226,U170,0))+(IF(M171=[10]Datos!$B$226,U171,0)))/((IF(M166=[10]Datos!$B$225,1,0))+(IF(M167=[10]Datos!$B$225,1,0))+(IF(M168=[10]Datos!$B$225,1,0))+(IF(M169=[10]Datos!$B$225,1,0))+(IF(M170=[10]Datos!$B$225,1,0))+(IF(M171=[10]Datos!$B$225,1,0))+(IF(M166=[10]Datos!$B$226,1,0))+(IF(M167=[10]Datos!$B$226,1,0))+(IF(M168=[10]Datos!$B$226,1,0))+(IF(M169=[10]Datos!$B$226,1,0))+(IF(M170=[10]Datos!$B$226,1,0))+(IF(M171=[10]Datos!$B$226,1,0))))</f>
        <v>0</v>
      </c>
      <c r="Y166" s="127" t="str">
        <f>IF(J166="","-",(IF(X166&gt;0,(IF(J166=[10]Datos!$B$219,[10]Datos!$B$219,IF(AND(J166=[10]Datos!$B$220,X166&gt;0.49),[10]Datos!$B$219,IF(AND(J166=[10]Datos!$B$221,X166&gt;0.74),[10]Datos!$B$219,IF(AND(J166=[10]Datos!$B$221,X166&lt;0.75,X166&gt;0.49),[10]Datos!$B$220,IF(AND(J166=[10]Datos!$B$222,X166&gt;0.74),[10]Datos!$B$220,IF(AND(J166=[10]Datos!$B$222,X166&lt;0.75,X166&gt;0.49),[10]Datos!$B$221,IF(AND(J166=[10]Datos!$B$223,X166&gt;0.74),[10]Datos!$B$221,IF(AND(J166=[10]Datos!$B$223,X166&lt;0.75,X166&gt;0.49),[10]Datos!$B$222,J166))))))))),J166)))</f>
        <v>Catastrófico - 20</v>
      </c>
      <c r="Z166" s="133" t="str">
        <f>IF(AND(W166=[10]Datos!$B$212,Y166=[10]Datos!$B$219),[10]Datos!$D$216,IF(AND(W166=[10]Datos!$B$212,Y166=[10]Datos!$B$220),[10]Datos!$E$216,IF(AND(W166=[10]Datos!$B$212,Y166=[10]Datos!$B$221),[10]Datos!$F$216,IF(AND(W166=[10]Datos!$B$213,Y166=[10]Datos!$B$219),[10]Datos!$D$215,IF(AND(W166=[10]Datos!$B$213,Y166=[10]Datos!$B$220),[10]Datos!$E$215,IF(AND(W166=[10]Datos!$B$213,Y166=[10]Datos!$B$221),[10]Datos!$F$215,IF(AND(W166=[10]Datos!$B$214,Y166=[10]Datos!$B$219),[10]Datos!$D$214,IF(AND(W166=[10]Datos!$B$214,Y166=[10]Datos!$B$220),[10]Datos!$E$214,IF(AND(W166=[10]Datos!$B$214,Y166=[10]Datos!$B$221),[10]Datos!$F$214,IF(AND(W166=[10]Datos!$B$215,Y166=[10]Datos!$B$219),[10]Datos!$D$213,IF(AND(W166=[10]Datos!$B$215,Y166=[10]Datos!$B$220),[10]Datos!$E$213,IF(AND(W166=[10]Datos!$B$215,Y166=[10]Datos!$B$221),[10]Datos!$F$213,IF(AND(W166=[10]Datos!$B$216,Y166=[10]Datos!$B$219),[10]Datos!$D$212,IF(AND(W166=[10]Datos!$B$216,Y166=[10]Datos!$B$220),[10]Datos!$E$212,IF(AND(W166=[10]Datos!$B$216,Y166=[10]Datos!$B$221),[10]Datos!$F$212,"-")))))))))))))))</f>
        <v>MODERADA 20</v>
      </c>
      <c r="AA166" s="11" t="s">
        <v>220</v>
      </c>
      <c r="AB166" s="11" t="s">
        <v>527</v>
      </c>
      <c r="AC166" s="11"/>
      <c r="AD166" s="11"/>
      <c r="AE166" s="11"/>
      <c r="AF166" s="11"/>
      <c r="AG166" s="16"/>
    </row>
    <row r="167" spans="1:33" ht="30" x14ac:dyDescent="0.25">
      <c r="A167" s="140"/>
      <c r="B167" s="141"/>
      <c r="C167" s="145"/>
      <c r="D167" s="136" t="s">
        <v>500</v>
      </c>
      <c r="E167" s="136"/>
      <c r="F167" s="136"/>
      <c r="G167" s="136"/>
      <c r="H167" s="35" t="s">
        <v>221</v>
      </c>
      <c r="I167" s="149"/>
      <c r="J167" s="149"/>
      <c r="K167" s="134"/>
      <c r="L167" s="22" t="s">
        <v>430</v>
      </c>
      <c r="M167" s="38" t="s">
        <v>47</v>
      </c>
      <c r="N167" s="20" t="s">
        <v>48</v>
      </c>
      <c r="O167" s="20" t="s">
        <v>49</v>
      </c>
      <c r="P167" s="20" t="s">
        <v>50</v>
      </c>
      <c r="Q167" s="20" t="s">
        <v>51</v>
      </c>
      <c r="R167" s="20" t="s">
        <v>48</v>
      </c>
      <c r="S167" s="20" t="s">
        <v>51</v>
      </c>
      <c r="T167" s="20" t="s">
        <v>52</v>
      </c>
      <c r="U167" s="41">
        <f>((IF(N167=[10]Datos!$B$233,15,0))/100)+((IF(O167=[10]Datos!$B$229,5,0))/100)+((IF(P167=[10]Datos!$B$233,15,0))/100)+((IF(Q167=[10]Datos!$B$231,10,0))/100)+((IF(R167=[10]Datos!$B$233,15,0))/100)+((IF(S167=[10]Datos!$B$231,10,0))/100)+((IF(T167=[10]Datos!$B$235,30,0))/100)</f>
        <v>0.85000000000000009</v>
      </c>
      <c r="V167" s="131"/>
      <c r="W167" s="128"/>
      <c r="X167" s="131"/>
      <c r="Y167" s="128"/>
      <c r="Z167" s="134"/>
      <c r="AA167" s="18" t="s">
        <v>220</v>
      </c>
      <c r="AB167" s="18" t="s">
        <v>528</v>
      </c>
      <c r="AC167" s="18"/>
      <c r="AD167" s="18"/>
      <c r="AE167" s="18"/>
      <c r="AF167" s="18"/>
      <c r="AG167" s="23"/>
    </row>
    <row r="168" spans="1:33" x14ac:dyDescent="0.25">
      <c r="A168" s="140"/>
      <c r="B168" s="141"/>
      <c r="C168" s="145"/>
      <c r="D168" s="136"/>
      <c r="E168" s="136"/>
      <c r="F168" s="136"/>
      <c r="G168" s="136"/>
      <c r="H168" s="35" t="s">
        <v>222</v>
      </c>
      <c r="I168" s="149"/>
      <c r="J168" s="149"/>
      <c r="K168" s="134"/>
      <c r="L168" s="22" t="s">
        <v>223</v>
      </c>
      <c r="M168" s="38" t="s">
        <v>47</v>
      </c>
      <c r="N168" s="20" t="s">
        <v>48</v>
      </c>
      <c r="O168" s="20" t="s">
        <v>49</v>
      </c>
      <c r="P168" s="20" t="s">
        <v>48</v>
      </c>
      <c r="Q168" s="20" t="s">
        <v>50</v>
      </c>
      <c r="R168" s="20" t="s">
        <v>50</v>
      </c>
      <c r="S168" s="20" t="s">
        <v>51</v>
      </c>
      <c r="T168" s="20" t="s">
        <v>52</v>
      </c>
      <c r="U168" s="41">
        <f>((IF(N168=[10]Datos!$B$233,15,0))/100)+((IF(O168=[10]Datos!$B$229,5,0))/100)+((IF(P168=[10]Datos!$B$233,15,0))/100)+((IF(Q168=[10]Datos!$B$231,10,0))/100)+((IF(R168=[10]Datos!$B$233,15,0))/100)+((IF(S168=[10]Datos!$B$231,10,0))/100)+((IF(T168=[10]Datos!$B$235,30,0))/100)</f>
        <v>0.75</v>
      </c>
      <c r="V168" s="131"/>
      <c r="W168" s="128"/>
      <c r="X168" s="131"/>
      <c r="Y168" s="128"/>
      <c r="Z168" s="134"/>
      <c r="AA168" s="18"/>
      <c r="AB168" s="18"/>
      <c r="AC168" s="18"/>
      <c r="AD168" s="79"/>
      <c r="AE168" s="18"/>
      <c r="AF168" s="79"/>
      <c r="AG168" s="81"/>
    </row>
    <row r="169" spans="1:33" x14ac:dyDescent="0.25">
      <c r="A169" s="140"/>
      <c r="B169" s="141"/>
      <c r="C169" s="145"/>
      <c r="D169" s="136"/>
      <c r="E169" s="136"/>
      <c r="F169" s="136"/>
      <c r="G169" s="136"/>
      <c r="H169" s="35" t="s">
        <v>224</v>
      </c>
      <c r="I169" s="149"/>
      <c r="J169" s="149"/>
      <c r="K169" s="134"/>
      <c r="L169" s="22"/>
      <c r="M169" s="38"/>
      <c r="N169" s="20"/>
      <c r="O169" s="20"/>
      <c r="P169" s="20"/>
      <c r="Q169" s="20"/>
      <c r="R169" s="20"/>
      <c r="S169" s="20"/>
      <c r="T169" s="20"/>
      <c r="U169" s="41">
        <f>((IF(N169=[10]Datos!$B$233,15,0))/100)+((IF(O169=[10]Datos!$B$229,5,0))/100)+((IF(P169=[10]Datos!$B$233,15,0))/100)+((IF(Q169=[10]Datos!$B$231,10,0))/100)+((IF(R169=[10]Datos!$B$233,15,0))/100)+((IF(S169=[10]Datos!$B$231,10,0))/100)+((IF(T169=[10]Datos!$B$235,30,0))/100)</f>
        <v>0</v>
      </c>
      <c r="V169" s="131"/>
      <c r="W169" s="128"/>
      <c r="X169" s="131"/>
      <c r="Y169" s="128"/>
      <c r="Z169" s="134"/>
      <c r="AA169" s="18"/>
      <c r="AB169" s="18"/>
      <c r="AC169" s="18"/>
      <c r="AD169" s="18"/>
      <c r="AE169" s="18"/>
      <c r="AF169" s="18"/>
      <c r="AG169" s="23"/>
    </row>
    <row r="170" spans="1:33" x14ac:dyDescent="0.25">
      <c r="A170" s="140"/>
      <c r="B170" s="141"/>
      <c r="C170" s="145"/>
      <c r="D170" s="136"/>
      <c r="E170" s="136"/>
      <c r="F170" s="136"/>
      <c r="G170" s="136"/>
      <c r="H170" s="35" t="s">
        <v>225</v>
      </c>
      <c r="I170" s="149"/>
      <c r="J170" s="149"/>
      <c r="K170" s="134"/>
      <c r="L170" s="22"/>
      <c r="M170" s="38"/>
      <c r="N170" s="20"/>
      <c r="O170" s="20"/>
      <c r="P170" s="20"/>
      <c r="Q170" s="20"/>
      <c r="R170" s="20"/>
      <c r="S170" s="20"/>
      <c r="T170" s="20"/>
      <c r="U170" s="41">
        <f>((IF(N170=[10]Datos!$B$233,15,0))/100)+((IF(O170=[10]Datos!$B$229,5,0))/100)+((IF(P170=[10]Datos!$B$233,15,0))/100)+((IF(Q170=[10]Datos!$B$231,10,0))/100)+((IF(R170=[10]Datos!$B$233,15,0))/100)+((IF(S170=[10]Datos!$B$231,10,0))/100)+((IF(T170=[10]Datos!$B$235,30,0))/100)</f>
        <v>0</v>
      </c>
      <c r="V170" s="131"/>
      <c r="W170" s="128"/>
      <c r="X170" s="131"/>
      <c r="Y170" s="128"/>
      <c r="Z170" s="134"/>
      <c r="AA170" s="18"/>
      <c r="AB170" s="18"/>
      <c r="AC170" s="18"/>
      <c r="AD170" s="18"/>
      <c r="AE170" s="18"/>
      <c r="AF170" s="18"/>
      <c r="AG170" s="23"/>
    </row>
    <row r="171" spans="1:33" ht="15.75" thickBot="1" x14ac:dyDescent="0.3">
      <c r="A171" s="142"/>
      <c r="B171" s="143"/>
      <c r="C171" s="146"/>
      <c r="D171" s="137"/>
      <c r="E171" s="137"/>
      <c r="F171" s="137"/>
      <c r="G171" s="137"/>
      <c r="H171" s="36"/>
      <c r="I171" s="150"/>
      <c r="J171" s="150"/>
      <c r="K171" s="135"/>
      <c r="L171" s="49"/>
      <c r="M171" s="39"/>
      <c r="N171" s="28"/>
      <c r="O171" s="28"/>
      <c r="P171" s="28"/>
      <c r="Q171" s="28"/>
      <c r="R171" s="28"/>
      <c r="S171" s="28"/>
      <c r="T171" s="28"/>
      <c r="U171" s="42">
        <f>((IF(N171=[10]Datos!$B$233,15,0))/100)+((IF(O171=[10]Datos!$B$229,5,0))/100)+((IF(P171=[10]Datos!$B$233,15,0))/100)+((IF(Q171=[10]Datos!$B$231,10,0))/100)+((IF(R171=[10]Datos!$B$233,15,0))/100)+((IF(S171=[10]Datos!$B$231,10,0))/100)+((IF(T171=[10]Datos!$B$235,30,0))/100)</f>
        <v>0</v>
      </c>
      <c r="V171" s="132"/>
      <c r="W171" s="129"/>
      <c r="X171" s="132"/>
      <c r="Y171" s="129"/>
      <c r="Z171" s="135"/>
      <c r="AA171" s="26"/>
      <c r="AB171" s="26"/>
      <c r="AC171" s="26"/>
      <c r="AD171" s="26"/>
      <c r="AE171" s="26"/>
      <c r="AF171" s="26"/>
      <c r="AG171" s="30"/>
    </row>
    <row r="172" spans="1:33" ht="36" customHeight="1" x14ac:dyDescent="0.25">
      <c r="A172" s="138" t="s">
        <v>219</v>
      </c>
      <c r="B172" s="139"/>
      <c r="C172" s="144" t="s">
        <v>541</v>
      </c>
      <c r="D172" s="147" t="s">
        <v>226</v>
      </c>
      <c r="E172" s="147"/>
      <c r="F172" s="147" t="s">
        <v>511</v>
      </c>
      <c r="G172" s="169" t="s">
        <v>396</v>
      </c>
      <c r="H172" s="43" t="s">
        <v>222</v>
      </c>
      <c r="I172" s="148" t="s">
        <v>84</v>
      </c>
      <c r="J172" s="148" t="s">
        <v>85</v>
      </c>
      <c r="K172" s="133" t="str">
        <f>IF(AND(I172=[10]Datos!$B$212,J172=[10]Datos!$B$219),[10]Datos!$D$216,IF(AND(I172=[10]Datos!$B$212,J172=[10]Datos!$B$220),[10]Datos!$E$216,IF(AND(I172=[10]Datos!$B$212,J172=[10]Datos!$B$221),[10]Datos!$F$216,IF(AND(I172=[10]Datos!$B$213,J172=[10]Datos!$B$219),[10]Datos!$D$215,IF(AND(I172=[10]Datos!$B$213,J172=[10]Datos!$B$220),[10]Datos!$E$215,IF(AND(I172=[10]Datos!$B$213,J172=[10]Datos!$B$221),[10]Datos!$F$215,IF(AND(I172=[10]Datos!$B$214,J172=[10]Datos!$B$219),[10]Datos!$D$214,IF(AND(I172=[10]Datos!$B$214,J172=[10]Datos!$B$220),[10]Datos!$E$214,IF(AND(I172=[10]Datos!$B$214,J172=[10]Datos!$B$221),[10]Datos!$F$214,IF(AND(I172=[10]Datos!$B$215,J172=[10]Datos!$B$219),[10]Datos!$D$213,IF(AND(I172=[10]Datos!$B$215,J172=[10]Datos!$B$220),[10]Datos!$E$213,IF(AND(I172=[10]Datos!$B$215,J172=[10]Datos!$B$221),[10]Datos!$F$213,IF(AND(I172=[10]Datos!$B$216,J172=[10]Datos!$B$219),[10]Datos!$D$212,IF(AND(I172=[10]Datos!$B$216,J172=[10]Datos!$B$220),[10]Datos!$E$212,IF(AND(I172=[10]Datos!$B$216,J172=[10]Datos!$B$221),[10]Datos!$F$212,"-")))))))))))))))</f>
        <v>ALTA 40</v>
      </c>
      <c r="L172" s="15" t="s">
        <v>349</v>
      </c>
      <c r="M172" s="37" t="s">
        <v>47</v>
      </c>
      <c r="N172" s="13" t="s">
        <v>48</v>
      </c>
      <c r="O172" s="13" t="s">
        <v>50</v>
      </c>
      <c r="P172" s="13" t="s">
        <v>50</v>
      </c>
      <c r="Q172" s="13" t="s">
        <v>51</v>
      </c>
      <c r="R172" s="13" t="s">
        <v>50</v>
      </c>
      <c r="S172" s="13" t="s">
        <v>50</v>
      </c>
      <c r="T172" s="13" t="s">
        <v>50</v>
      </c>
      <c r="U172" s="40">
        <f>((IF(N172=[10]Datos!$B$233,15,0))/100)+((IF(O172=[10]Datos!$B$229,5,0))/100)+((IF(P172=[10]Datos!$B$233,15,0))/100)+((IF(Q172=[10]Datos!$B$231,10,0))/100)+((IF(R172=[10]Datos!$B$233,15,0))/100)+((IF(S172=[10]Datos!$B$231,10,0))/100)+((IF(T172=[10]Datos!$B$235,30,0))/100)</f>
        <v>0.25</v>
      </c>
      <c r="V172" s="130">
        <f>IF(ISERROR(((IF(M172=[10]Datos!$B$224,U172,0))+(IF(M173=[10]Datos!$B$224,U173,0))+(IF(M174=[10]Datos!$B$224,U174,0))+(IF(M175=[10]Datos!$B$224,U175,0))+(IF(M176=[10]Datos!$B$224,U176,0))+(IF(M177=[10]Datos!$B$224,U177,0)))/((IF(M172=[10]Datos!$B$224,1,0))+(IF(M173=[10]Datos!$B$224,1,0))+(IF(M174=[10]Datos!$B$224,1,0))+(IF(M175=[10]Datos!$B$224,1,0))+(IF(M176=[10]Datos!$B$224,1,0))+(IF(M177=[10]Datos!$B$224,1,0)))),0,(((IF(M172=[10]Datos!$B$224,U172,0))+(IF(M173=[10]Datos!$B$224,U173,0))+(IF(M174=[10]Datos!$B$224,U174,0))+(IF(M175=[10]Datos!$B$224,U175,0))+(IF(M176=[10]Datos!$B$224,U176,0))+(IF(M177=[10]Datos!$B$224,U177,0)))/((IF(M172=[10]Datos!$B$224,1,0))+(IF(M173=[10]Datos!$B$224,1,0))+(IF(M174=[10]Datos!$B$224,1,0))+(IF(M175=[10]Datos!$B$224,1,0))+(IF(M176=[10]Datos!$B$224,1,0))+(IF(M177=[10]Datos!$B$224,1,0)))))</f>
        <v>0.25</v>
      </c>
      <c r="W172" s="127" t="str">
        <f>IF(I172="","-",(IF(V172&gt;0,(IF(I172=[10]Datos!$B$212,[10]Datos!$B$212,IF(AND(I172=[10]Datos!$B$213,V172&gt;0.49),[10]Datos!$B$212,IF(AND(I172=[10]Datos!$B$214,V172&gt;0.74),[10]Datos!$B$212,IF(AND(I172=[10]Datos!$B$214,V172&lt;0.75,V172&gt;0.49),[10]Datos!$B$213,IF(AND(I172=[10]Datos!$B$215,V172&gt;0.74),[10]Datos!$B$213,IF(AND(I172=[10]Datos!$B$215,V172&lt;0.75,V172&gt;0.49),[10]Datos!$B$214,IF(AND(I172=[10]Datos!$B$216,V172&gt;0.74),[10]Datos!$B$214,IF(AND(I172=[10]Datos!$B$216,V172&lt;0.75,V172&gt;0.49),[10]Datos!$B$215,I172))))))))),I172)))</f>
        <v>Probable - 4</v>
      </c>
      <c r="X172" s="130">
        <f>IF(ISERROR(((IF(M172=[10]Datos!$B$225,U172,0))+(IF(M173=[10]Datos!$B$225,U173,0))+(IF(M174=[10]Datos!$B$225,U174,0))+(IF(M175=[10]Datos!$B$225,U175,0))+(IF(M176=[10]Datos!$B$225,U176,0))+(IF(M177=[10]Datos!$B$225,U177,0))+(IF(M172=[10]Datos!$B$226,U172,0))+(IF(M173=[10]Datos!$B$226,U173,0))+(IF(M174=[10]Datos!$B$226,U174,0))+(IF(M175=[10]Datos!$B$226,U175,0))+(IF(M176=[10]Datos!$B$226,U176,0))+(IF(M177=[10]Datos!$B$226,U177,0)))/((IF(M172=[10]Datos!$B$225,1,0))+(IF(M173=[10]Datos!$B$225,1,0))+(IF(M174=[10]Datos!$B$225,1,0))+(IF(M175=[10]Datos!$B$225,1,0))+(IF(M176=[10]Datos!$B$225,1,0))+(IF(M177=[10]Datos!$B$225,1,0))+(IF(M172=[10]Datos!$B$226,1,0))+(IF(M173=[10]Datos!$B$226,1,0))+(IF(M174=[10]Datos!$B$226,1,0))+(IF(M175=[10]Datos!$B$226,1,0))+(IF(M176=[10]Datos!$B$226,1,0))+(IF(M177=[10]Datos!$B$226,1,0)))),0,((IF(M172=[10]Datos!$B$225,U172,0))+(IF(M173=[10]Datos!$B$225,U173,0))+(IF(M174=[10]Datos!$B$225,U174,0))+(IF(M175=[10]Datos!$B$225,U175,0))+(IF(M176=[10]Datos!$B$225,U176,0))+(IF(M177=[10]Datos!$B$225,U177,0))+(IF(M172=[10]Datos!$B$226,U172,0))+(IF(M173=[10]Datos!$B$226,U173,0))+(IF(M174=[10]Datos!$B$226,U174,0))+(IF(M175=[10]Datos!$B$226,U175,0))+(IF(M176=[10]Datos!$B$226,U176,0))+(IF(M177=[10]Datos!$B$226,U177,0)))/((IF(M172=[10]Datos!$B$225,1,0))+(IF(M173=[10]Datos!$B$225,1,0))+(IF(M174=[10]Datos!$B$225,1,0))+(IF(M175=[10]Datos!$B$225,1,0))+(IF(M176=[10]Datos!$B$225,1,0))+(IF(M177=[10]Datos!$B$225,1,0))+(IF(M172=[10]Datos!$B$226,1,0))+(IF(M173=[10]Datos!$B$226,1,0))+(IF(M174=[10]Datos!$B$226,1,0))+(IF(M175=[10]Datos!$B$226,1,0))+(IF(M176=[10]Datos!$B$226,1,0))+(IF(M177=[10]Datos!$B$226,1,0))))</f>
        <v>0</v>
      </c>
      <c r="Y172" s="127" t="str">
        <f>IF(J172="","-",(IF(X172&gt;0,(IF(J172=[10]Datos!$B$219,[10]Datos!$B$219,IF(AND(J172=[10]Datos!$B$220,X172&gt;0.49),[10]Datos!$B$219,IF(AND(J172=[10]Datos!$B$221,X172&gt;0.74),[10]Datos!$B$219,IF(AND(J172=[10]Datos!$B$221,X172&lt;0.75,X172&gt;0.49),[10]Datos!$B$220,IF(AND(J172=[10]Datos!$B$222,X172&gt;0.74),[10]Datos!$B$220,IF(AND(J172=[10]Datos!$B$222,X172&lt;0.75,X172&gt;0.49),[10]Datos!$B$221,IF(AND(J172=[10]Datos!$B$223,X172&gt;0.74),[10]Datos!$B$221,IF(AND(J172=[10]Datos!$B$223,X172&lt;0.75,X172&gt;0.49),[10]Datos!$B$222,J172))))))))),J172)))</f>
        <v>Mayor - 10</v>
      </c>
      <c r="Z172" s="133" t="str">
        <f>IF(AND(W172=[10]Datos!$B$212,Y172=[10]Datos!$B$219),[10]Datos!$D$216,IF(AND(W172=[10]Datos!$B$212,Y172=[10]Datos!$B$220),[10]Datos!$E$216,IF(AND(W172=[10]Datos!$B$212,Y172=[10]Datos!$B$221),[10]Datos!$F$216,IF(AND(W172=[10]Datos!$B$213,Y172=[10]Datos!$B$219),[10]Datos!$D$215,IF(AND(W172=[10]Datos!$B$213,Y172=[10]Datos!$B$220),[10]Datos!$E$215,IF(AND(W172=[10]Datos!$B$213,Y172=[10]Datos!$B$221),[10]Datos!$F$215,IF(AND(W172=[10]Datos!$B$214,Y172=[10]Datos!$B$219),[10]Datos!$D$214,IF(AND(W172=[10]Datos!$B$214,Y172=[10]Datos!$B$220),[10]Datos!$E$214,IF(AND(W172=[10]Datos!$B$214,Y172=[10]Datos!$B$221),[10]Datos!$F$214,IF(AND(W172=[10]Datos!$B$215,Y172=[10]Datos!$B$219),[10]Datos!$D$213,IF(AND(W172=[10]Datos!$B$215,Y172=[10]Datos!$B$220),[10]Datos!$E$213,IF(AND(W172=[10]Datos!$B$215,Y172=[10]Datos!$B$221),[10]Datos!$F$213,IF(AND(W172=[10]Datos!$B$216,Y172=[10]Datos!$B$219),[10]Datos!$D$212,IF(AND(W172=[10]Datos!$B$216,Y172=[10]Datos!$B$220),[10]Datos!$E$212,IF(AND(W172=[10]Datos!$B$216,Y172=[10]Datos!$B$221),[10]Datos!$F$212,"-")))))))))))))))</f>
        <v>ALTA 40</v>
      </c>
      <c r="AA172" s="11" t="s">
        <v>212</v>
      </c>
      <c r="AB172" s="11" t="s">
        <v>227</v>
      </c>
      <c r="AC172" s="11"/>
      <c r="AD172" s="11"/>
      <c r="AE172" s="11"/>
      <c r="AF172" s="11"/>
      <c r="AG172" s="16"/>
    </row>
    <row r="173" spans="1:33" ht="20.25" customHeight="1" x14ac:dyDescent="0.25">
      <c r="A173" s="140"/>
      <c r="B173" s="141"/>
      <c r="C173" s="145"/>
      <c r="D173" s="136"/>
      <c r="E173" s="136"/>
      <c r="F173" s="136"/>
      <c r="G173" s="170"/>
      <c r="H173" s="35" t="s">
        <v>221</v>
      </c>
      <c r="I173" s="149"/>
      <c r="J173" s="149"/>
      <c r="K173" s="134"/>
      <c r="L173" s="22"/>
      <c r="M173" s="38"/>
      <c r="N173" s="20"/>
      <c r="O173" s="20"/>
      <c r="P173" s="20"/>
      <c r="Q173" s="20"/>
      <c r="R173" s="20"/>
      <c r="S173" s="20"/>
      <c r="T173" s="20"/>
      <c r="U173" s="41">
        <f>((IF(N173=[10]Datos!$B$233,15,0))/100)+((IF(O173=[10]Datos!$B$229,5,0))/100)+((IF(P173=[10]Datos!$B$233,15,0))/100)+((IF(Q173=[10]Datos!$B$231,10,0))/100)+((IF(R173=[10]Datos!$B$233,15,0))/100)+((IF(S173=[10]Datos!$B$231,10,0))/100)+((IF(T173=[10]Datos!$B$235,30,0))/100)</f>
        <v>0</v>
      </c>
      <c r="V173" s="131"/>
      <c r="W173" s="128"/>
      <c r="X173" s="131"/>
      <c r="Y173" s="128"/>
      <c r="Z173" s="134"/>
      <c r="AA173" s="18"/>
      <c r="AB173" s="18"/>
      <c r="AC173" s="18"/>
      <c r="AD173" s="18"/>
      <c r="AE173" s="18"/>
      <c r="AF173" s="18"/>
      <c r="AG173" s="23"/>
    </row>
    <row r="174" spans="1:33" ht="18.75" customHeight="1" x14ac:dyDescent="0.25">
      <c r="A174" s="140"/>
      <c r="B174" s="141"/>
      <c r="C174" s="145"/>
      <c r="D174" s="136"/>
      <c r="E174" s="136"/>
      <c r="F174" s="136"/>
      <c r="G174" s="170"/>
      <c r="H174" s="35" t="s">
        <v>225</v>
      </c>
      <c r="I174" s="149"/>
      <c r="J174" s="149"/>
      <c r="K174" s="134"/>
      <c r="L174" s="22"/>
      <c r="M174" s="38"/>
      <c r="N174" s="20"/>
      <c r="O174" s="20"/>
      <c r="P174" s="20"/>
      <c r="Q174" s="20"/>
      <c r="R174" s="20"/>
      <c r="S174" s="20"/>
      <c r="T174" s="20"/>
      <c r="U174" s="41">
        <f>((IF(N174=[10]Datos!$B$233,15,0))/100)+((IF(O174=[10]Datos!$B$229,5,0))/100)+((IF(P174=[10]Datos!$B$233,15,0))/100)+((IF(Q174=[10]Datos!$B$231,10,0))/100)+((IF(R174=[10]Datos!$B$233,15,0))/100)+((IF(S174=[10]Datos!$B$231,10,0))/100)+((IF(T174=[10]Datos!$B$235,30,0))/100)</f>
        <v>0</v>
      </c>
      <c r="V174" s="131"/>
      <c r="W174" s="128"/>
      <c r="X174" s="131"/>
      <c r="Y174" s="128"/>
      <c r="Z174" s="134"/>
      <c r="AA174" s="18"/>
      <c r="AB174" s="18"/>
      <c r="AC174" s="18"/>
      <c r="AD174" s="79"/>
      <c r="AE174" s="18"/>
      <c r="AF174" s="79"/>
      <c r="AG174" s="81"/>
    </row>
    <row r="175" spans="1:33" x14ac:dyDescent="0.25">
      <c r="A175" s="140"/>
      <c r="B175" s="141"/>
      <c r="C175" s="145"/>
      <c r="D175" s="136"/>
      <c r="E175" s="136"/>
      <c r="F175" s="136"/>
      <c r="G175" s="170"/>
      <c r="H175" s="35"/>
      <c r="I175" s="149"/>
      <c r="J175" s="149"/>
      <c r="K175" s="134"/>
      <c r="L175" s="22"/>
      <c r="M175" s="38"/>
      <c r="N175" s="20"/>
      <c r="O175" s="20"/>
      <c r="P175" s="20"/>
      <c r="Q175" s="20"/>
      <c r="R175" s="20"/>
      <c r="S175" s="20"/>
      <c r="T175" s="20"/>
      <c r="U175" s="41">
        <f>((IF(N175=[10]Datos!$B$233,15,0))/100)+((IF(O175=[10]Datos!$B$229,5,0))/100)+((IF(P175=[10]Datos!$B$233,15,0))/100)+((IF(Q175=[10]Datos!$B$231,10,0))/100)+((IF(R175=[10]Datos!$B$233,15,0))/100)+((IF(S175=[10]Datos!$B$231,10,0))/100)+((IF(T175=[10]Datos!$B$235,30,0))/100)</f>
        <v>0</v>
      </c>
      <c r="V175" s="131"/>
      <c r="W175" s="128"/>
      <c r="X175" s="131"/>
      <c r="Y175" s="128"/>
      <c r="Z175" s="134"/>
      <c r="AA175" s="18"/>
      <c r="AB175" s="18"/>
      <c r="AC175" s="18"/>
      <c r="AD175" s="18"/>
      <c r="AE175" s="18"/>
      <c r="AF175" s="18"/>
      <c r="AG175" s="23"/>
    </row>
    <row r="176" spans="1:33" x14ac:dyDescent="0.25">
      <c r="A176" s="140"/>
      <c r="B176" s="141"/>
      <c r="C176" s="145"/>
      <c r="D176" s="136"/>
      <c r="E176" s="136"/>
      <c r="F176" s="136"/>
      <c r="G176" s="170"/>
      <c r="H176" s="35"/>
      <c r="I176" s="149"/>
      <c r="J176" s="149"/>
      <c r="K176" s="134"/>
      <c r="L176" s="22"/>
      <c r="M176" s="38"/>
      <c r="N176" s="20"/>
      <c r="O176" s="20"/>
      <c r="P176" s="20"/>
      <c r="Q176" s="20"/>
      <c r="R176" s="20"/>
      <c r="S176" s="20"/>
      <c r="T176" s="20"/>
      <c r="U176" s="41">
        <f>((IF(N176=[10]Datos!$B$233,15,0))/100)+((IF(O176=[10]Datos!$B$229,5,0))/100)+((IF(P176=[10]Datos!$B$233,15,0))/100)+((IF(Q176=[10]Datos!$B$231,10,0))/100)+((IF(R176=[10]Datos!$B$233,15,0))/100)+((IF(S176=[10]Datos!$B$231,10,0))/100)+((IF(T176=[10]Datos!$B$235,30,0))/100)</f>
        <v>0</v>
      </c>
      <c r="V176" s="131"/>
      <c r="W176" s="128"/>
      <c r="X176" s="131"/>
      <c r="Y176" s="128"/>
      <c r="Z176" s="134"/>
      <c r="AA176" s="18"/>
      <c r="AB176" s="18"/>
      <c r="AC176" s="18"/>
      <c r="AD176" s="18"/>
      <c r="AE176" s="18"/>
      <c r="AF176" s="18"/>
      <c r="AG176" s="23"/>
    </row>
    <row r="177" spans="1:33" ht="15.75" thickBot="1" x14ac:dyDescent="0.3">
      <c r="A177" s="142"/>
      <c r="B177" s="143"/>
      <c r="C177" s="146"/>
      <c r="D177" s="137"/>
      <c r="E177" s="137"/>
      <c r="F177" s="137"/>
      <c r="G177" s="171"/>
      <c r="H177" s="36"/>
      <c r="I177" s="150"/>
      <c r="J177" s="150"/>
      <c r="K177" s="135"/>
      <c r="L177" s="49"/>
      <c r="M177" s="39"/>
      <c r="N177" s="28"/>
      <c r="O177" s="28"/>
      <c r="P177" s="28"/>
      <c r="Q177" s="28"/>
      <c r="R177" s="28"/>
      <c r="S177" s="28"/>
      <c r="T177" s="28"/>
      <c r="U177" s="42">
        <f>((IF(N177=[10]Datos!$B$233,15,0))/100)+((IF(O177=[10]Datos!$B$229,5,0))/100)+((IF(P177=[10]Datos!$B$233,15,0))/100)+((IF(Q177=[10]Datos!$B$231,10,0))/100)+((IF(R177=[10]Datos!$B$233,15,0))/100)+((IF(S177=[10]Datos!$B$231,10,0))/100)+((IF(T177=[10]Datos!$B$235,30,0))/100)</f>
        <v>0</v>
      </c>
      <c r="V177" s="132"/>
      <c r="W177" s="129"/>
      <c r="X177" s="132"/>
      <c r="Y177" s="129"/>
      <c r="Z177" s="135"/>
      <c r="AA177" s="26"/>
      <c r="AB177" s="26"/>
      <c r="AC177" s="26"/>
      <c r="AD177" s="26"/>
      <c r="AE177" s="26"/>
      <c r="AF177" s="26"/>
      <c r="AG177" s="30"/>
    </row>
    <row r="178" spans="1:33" ht="48" customHeight="1" x14ac:dyDescent="0.25">
      <c r="A178" s="138" t="s">
        <v>219</v>
      </c>
      <c r="B178" s="139"/>
      <c r="C178" s="144" t="s">
        <v>541</v>
      </c>
      <c r="D178" s="169" t="s">
        <v>501</v>
      </c>
      <c r="E178" s="169"/>
      <c r="F178" s="147" t="s">
        <v>437</v>
      </c>
      <c r="G178" s="169" t="s">
        <v>397</v>
      </c>
      <c r="H178" s="95" t="s">
        <v>348</v>
      </c>
      <c r="I178" s="148" t="s">
        <v>160</v>
      </c>
      <c r="J178" s="148" t="s">
        <v>85</v>
      </c>
      <c r="K178" s="133" t="str">
        <f>IF(AND(I178=[10]Datos!$B$212,J178=[10]Datos!$B$219),[10]Datos!$D$216,IF(AND(I178=[10]Datos!$B$212,J178=[10]Datos!$B$220),[10]Datos!$E$216,IF(AND(I178=[10]Datos!$B$212,J178=[10]Datos!$B$221),[10]Datos!$F$216,IF(AND(I178=[10]Datos!$B$213,J178=[10]Datos!$B$219),[10]Datos!$D$215,IF(AND(I178=[10]Datos!$B$213,J178=[10]Datos!$B$220),[10]Datos!$E$215,IF(AND(I178=[10]Datos!$B$213,J178=[10]Datos!$B$221),[10]Datos!$F$215,IF(AND(I178=[10]Datos!$B$214,J178=[10]Datos!$B$219),[10]Datos!$D$214,IF(AND(I178=[10]Datos!$B$214,J178=[10]Datos!$B$220),[10]Datos!$E$214,IF(AND(I178=[10]Datos!$B$214,J178=[10]Datos!$B$221),[10]Datos!$F$214,IF(AND(I178=[10]Datos!$B$215,J178=[10]Datos!$B$219),[10]Datos!$D$213,IF(AND(I178=[10]Datos!$B$215,J178=[10]Datos!$B$220),[10]Datos!$E$213,IF(AND(I178=[10]Datos!$B$215,J178=[10]Datos!$B$221),[10]Datos!$F$213,IF(AND(I178=[10]Datos!$B$216,J178=[10]Datos!$B$219),[10]Datos!$D$212,IF(AND(I178=[10]Datos!$B$216,J178=[10]Datos!$B$220),[10]Datos!$E$212,IF(AND(I178=[10]Datos!$B$216,J178=[10]Datos!$B$221),[10]Datos!$F$212,"-")))))))))))))))</f>
        <v>BAJA 10</v>
      </c>
      <c r="L178" s="15" t="s">
        <v>431</v>
      </c>
      <c r="M178" s="37" t="s">
        <v>47</v>
      </c>
      <c r="N178" s="13" t="s">
        <v>48</v>
      </c>
      <c r="O178" s="13" t="s">
        <v>49</v>
      </c>
      <c r="P178" s="13" t="s">
        <v>50</v>
      </c>
      <c r="Q178" s="13" t="s">
        <v>51</v>
      </c>
      <c r="R178" s="13" t="s">
        <v>48</v>
      </c>
      <c r="S178" s="13" t="s">
        <v>51</v>
      </c>
      <c r="T178" s="13" t="s">
        <v>52</v>
      </c>
      <c r="U178" s="40">
        <f>((IF(N178=[10]Datos!$B$233,15,0))/100)+((IF(O178=[10]Datos!$B$229,5,0))/100)+((IF(P178=[10]Datos!$B$233,15,0))/100)+((IF(Q178=[10]Datos!$B$231,10,0))/100)+((IF(R178=[10]Datos!$B$233,15,0))/100)+((IF(S178=[10]Datos!$B$231,10,0))/100)+((IF(T178=[10]Datos!$B$235,30,0))/100)</f>
        <v>0.85000000000000009</v>
      </c>
      <c r="V178" s="130">
        <f>IF(ISERROR(((IF(M178=[10]Datos!$B$224,U178,0))+(IF(M179=[10]Datos!$B$224,U179,0))+(IF(M180=[10]Datos!$B$224,U180,0))+(IF(M181=[10]Datos!$B$224,U181,0))+(IF(M182=[10]Datos!$B$224,U182,0))+(IF(M183=[10]Datos!$B$224,U183,0)))/((IF(M178=[10]Datos!$B$224,1,0))+(IF(M179=[10]Datos!$B$224,1,0))+(IF(M180=[10]Datos!$B$224,1,0))+(IF(M181=[10]Datos!$B$224,1,0))+(IF(M182=[10]Datos!$B$224,1,0))+(IF(M183=[10]Datos!$B$224,1,0)))),0,(((IF(M178=[10]Datos!$B$224,U178,0))+(IF(M179=[10]Datos!$B$224,U179,0))+(IF(M180=[10]Datos!$B$224,U180,0))+(IF(M181=[10]Datos!$B$224,U181,0))+(IF(M182=[10]Datos!$B$224,U182,0))+(IF(M183=[10]Datos!$B$224,U183,0)))/((IF(M178=[10]Datos!$B$224,1,0))+(IF(M179=[10]Datos!$B$224,1,0))+(IF(M180=[10]Datos!$B$224,1,0))+(IF(M181=[10]Datos!$B$224,1,0))+(IF(M182=[10]Datos!$B$224,1,0))+(IF(M183=[10]Datos!$B$224,1,0)))))</f>
        <v>0.85000000000000009</v>
      </c>
      <c r="W178" s="127" t="str">
        <f>IF(I178="","-",(IF(V178&gt;0,(IF(I178=[10]Datos!$B$212,[10]Datos!$B$212,IF(AND(I178=[10]Datos!$B$213,V178&gt;0.49),[10]Datos!$B$212,IF(AND(I178=[10]Datos!$B$214,V178&gt;0.74),[10]Datos!$B$212,IF(AND(I178=[10]Datos!$B$214,V178&lt;0.75,V178&gt;0.49),[10]Datos!$B$213,IF(AND(I178=[10]Datos!$B$215,V178&gt;0.74),[10]Datos!$B$213,IF(AND(I178=[10]Datos!$B$215,V178&lt;0.75,V178&gt;0.49),[10]Datos!$B$214,IF(AND(I178=[10]Datos!$B$216,V178&gt;0.74),[10]Datos!$B$214,IF(AND(I178=[10]Datos!$B$216,V178&lt;0.75,V178&gt;0.49),[10]Datos!$B$215,I178))))))))),I178)))</f>
        <v>Rara vez - 1</v>
      </c>
      <c r="X178" s="130">
        <f>IF(ISERROR(((IF(M178=[10]Datos!$B$225,U178,0))+(IF(M179=[10]Datos!$B$225,U179,0))+(IF(M180=[10]Datos!$B$225,U180,0))+(IF(M181=[10]Datos!$B$225,U181,0))+(IF(M182=[10]Datos!$B$225,U182,0))+(IF(M183=[10]Datos!$B$225,U183,0))+(IF(M178=[10]Datos!$B$226,U178,0))+(IF(M179=[10]Datos!$B$226,U179,0))+(IF(M180=[10]Datos!$B$226,U180,0))+(IF(M181=[10]Datos!$B$226,U181,0))+(IF(M182=[10]Datos!$B$226,U182,0))+(IF(M183=[10]Datos!$B$226,U183,0)))/((IF(M178=[10]Datos!$B$225,1,0))+(IF(M179=[10]Datos!$B$225,1,0))+(IF(M180=[10]Datos!$B$225,1,0))+(IF(M181=[10]Datos!$B$225,1,0))+(IF(M182=[10]Datos!$B$225,1,0))+(IF(M183=[10]Datos!$B$225,1,0))+(IF(M178=[10]Datos!$B$226,1,0))+(IF(M179=[10]Datos!$B$226,1,0))+(IF(M180=[10]Datos!$B$226,1,0))+(IF(M181=[10]Datos!$B$226,1,0))+(IF(M182=[10]Datos!$B$226,1,0))+(IF(M183=[10]Datos!$B$226,1,0)))),0,((IF(M178=[10]Datos!$B$225,U178,0))+(IF(M179=[10]Datos!$B$225,U179,0))+(IF(M180=[10]Datos!$B$225,U180,0))+(IF(M181=[10]Datos!$B$225,U181,0))+(IF(M182=[10]Datos!$B$225,U182,0))+(IF(M183=[10]Datos!$B$225,U183,0))+(IF(M178=[10]Datos!$B$226,U178,0))+(IF(M179=[10]Datos!$B$226,U179,0))+(IF(M180=[10]Datos!$B$226,U180,0))+(IF(M181=[10]Datos!$B$226,U181,0))+(IF(M182=[10]Datos!$B$226,U182,0))+(IF(M183=[10]Datos!$B$226,U183,0)))/((IF(M178=[10]Datos!$B$225,1,0))+(IF(M179=[10]Datos!$B$225,1,0))+(IF(M180=[10]Datos!$B$225,1,0))+(IF(M181=[10]Datos!$B$225,1,0))+(IF(M182=[10]Datos!$B$225,1,0))+(IF(M183=[10]Datos!$B$225,1,0))+(IF(M178=[10]Datos!$B$226,1,0))+(IF(M179=[10]Datos!$B$226,1,0))+(IF(M180=[10]Datos!$B$226,1,0))+(IF(M181=[10]Datos!$B$226,1,0))+(IF(M182=[10]Datos!$B$226,1,0))+(IF(M183=[10]Datos!$B$226,1,0))))</f>
        <v>0</v>
      </c>
      <c r="Y178" s="127" t="str">
        <f>IF(J178="","-",(IF(X178&gt;0,(IF(J178=[10]Datos!$B$219,[10]Datos!$B$219,IF(AND(J178=[10]Datos!$B$220,X178&gt;0.49),[10]Datos!$B$219,IF(AND(J178=[10]Datos!$B$221,X178&gt;0.74),[10]Datos!$B$219,IF(AND(J178=[10]Datos!$B$221,X178&lt;0.75,X178&gt;0.49),[10]Datos!$B$220,IF(AND(J178=[10]Datos!$B$222,X178&gt;0.74),[10]Datos!$B$220,IF(AND(J178=[10]Datos!$B$222,X178&lt;0.75,X178&gt;0.49),[10]Datos!$B$221,IF(AND(J178=[10]Datos!$B$223,X178&gt;0.74),[10]Datos!$B$221,IF(AND(J178=[10]Datos!$B$223,X178&lt;0.75,X178&gt;0.49),[10]Datos!$B$222,J178))))))))),J178)))</f>
        <v>Mayor - 10</v>
      </c>
      <c r="Z178" s="133" t="str">
        <f>IF(AND(W178=[10]Datos!$B$212,Y178=[10]Datos!$B$219),[10]Datos!$D$216,IF(AND(W178=[10]Datos!$B$212,Y178=[10]Datos!$B$220),[10]Datos!$E$216,IF(AND(W178=[10]Datos!$B$212,Y178=[10]Datos!$B$221),[10]Datos!$F$216,IF(AND(W178=[10]Datos!$B$213,Y178=[10]Datos!$B$219),[10]Datos!$D$215,IF(AND(W178=[10]Datos!$B$213,Y178=[10]Datos!$B$220),[10]Datos!$E$215,IF(AND(W178=[10]Datos!$B$213,Y178=[10]Datos!$B$221),[10]Datos!$F$215,IF(AND(W178=[10]Datos!$B$214,Y178=[10]Datos!$B$219),[10]Datos!$D$214,IF(AND(W178=[10]Datos!$B$214,Y178=[10]Datos!$B$220),[10]Datos!$E$214,IF(AND(W178=[10]Datos!$B$214,Y178=[10]Datos!$B$221),[10]Datos!$F$214,IF(AND(W178=[10]Datos!$B$215,Y178=[10]Datos!$B$219),[10]Datos!$D$213,IF(AND(W178=[10]Datos!$B$215,Y178=[10]Datos!$B$220),[10]Datos!$E$213,IF(AND(W178=[10]Datos!$B$215,Y178=[10]Datos!$B$221),[10]Datos!$F$213,IF(AND(W178=[10]Datos!$B$216,Y178=[10]Datos!$B$219),[10]Datos!$D$212,IF(AND(W178=[10]Datos!$B$216,Y178=[10]Datos!$B$220),[10]Datos!$E$212,IF(AND(W178=[10]Datos!$B$216,Y178=[10]Datos!$B$221),[10]Datos!$F$212,"-")))))))))))))))</f>
        <v>BAJA 10</v>
      </c>
      <c r="AA178" s="11"/>
      <c r="AB178" s="11"/>
      <c r="AC178" s="11"/>
      <c r="AD178" s="11"/>
      <c r="AE178" s="11"/>
      <c r="AF178" s="11"/>
      <c r="AG178" s="16"/>
    </row>
    <row r="179" spans="1:33" ht="33.75" customHeight="1" x14ac:dyDescent="0.25">
      <c r="A179" s="140"/>
      <c r="B179" s="141"/>
      <c r="C179" s="145"/>
      <c r="D179" s="136" t="s">
        <v>502</v>
      </c>
      <c r="E179" s="136"/>
      <c r="F179" s="136"/>
      <c r="G179" s="170"/>
      <c r="H179" s="35" t="s">
        <v>221</v>
      </c>
      <c r="I179" s="149"/>
      <c r="J179" s="149"/>
      <c r="K179" s="134"/>
      <c r="L179" s="22"/>
      <c r="M179" s="38"/>
      <c r="N179" s="20"/>
      <c r="O179" s="20"/>
      <c r="P179" s="20"/>
      <c r="Q179" s="20"/>
      <c r="R179" s="20"/>
      <c r="S179" s="20"/>
      <c r="T179" s="20"/>
      <c r="U179" s="41">
        <f>((IF(N179=[10]Datos!$B$233,15,0))/100)+((IF(O179=[10]Datos!$B$229,5,0))/100)+((IF(P179=[10]Datos!$B$233,15,0))/100)+((IF(Q179=[10]Datos!$B$231,10,0))/100)+((IF(R179=[10]Datos!$B$233,15,0))/100)+((IF(S179=[10]Datos!$B$231,10,0))/100)+((IF(T179=[10]Datos!$B$235,30,0))/100)</f>
        <v>0</v>
      </c>
      <c r="V179" s="131"/>
      <c r="W179" s="128"/>
      <c r="X179" s="131"/>
      <c r="Y179" s="128"/>
      <c r="Z179" s="134"/>
      <c r="AA179" s="18"/>
      <c r="AB179" s="18"/>
      <c r="AC179" s="18"/>
      <c r="AD179" s="18"/>
      <c r="AE179" s="18"/>
      <c r="AF179" s="18"/>
      <c r="AG179" s="81"/>
    </row>
    <row r="180" spans="1:33" ht="20.25" customHeight="1" x14ac:dyDescent="0.25">
      <c r="A180" s="140"/>
      <c r="B180" s="141"/>
      <c r="C180" s="145"/>
      <c r="D180" s="136"/>
      <c r="E180" s="136"/>
      <c r="F180" s="136"/>
      <c r="G180" s="170"/>
      <c r="H180" s="35" t="s">
        <v>222</v>
      </c>
      <c r="I180" s="149"/>
      <c r="J180" s="149"/>
      <c r="K180" s="134"/>
      <c r="L180" s="22"/>
      <c r="M180" s="38"/>
      <c r="N180" s="20"/>
      <c r="O180" s="20"/>
      <c r="P180" s="20"/>
      <c r="Q180" s="20"/>
      <c r="R180" s="20"/>
      <c r="S180" s="20"/>
      <c r="T180" s="20"/>
      <c r="U180" s="41">
        <f>((IF(N180=[10]Datos!$B$233,15,0))/100)+((IF(O180=[10]Datos!$B$229,5,0))/100)+((IF(P180=[10]Datos!$B$233,15,0))/100)+((IF(Q180=[10]Datos!$B$231,10,0))/100)+((IF(R180=[10]Datos!$B$233,15,0))/100)+((IF(S180=[10]Datos!$B$231,10,0))/100)+((IF(T180=[10]Datos!$B$235,30,0))/100)</f>
        <v>0</v>
      </c>
      <c r="V180" s="131"/>
      <c r="W180" s="128"/>
      <c r="X180" s="131"/>
      <c r="Y180" s="128"/>
      <c r="Z180" s="134"/>
      <c r="AA180" s="18"/>
      <c r="AB180" s="18"/>
      <c r="AC180" s="18"/>
      <c r="AD180" s="79"/>
      <c r="AE180" s="18"/>
      <c r="AF180" s="79"/>
      <c r="AG180" s="81"/>
    </row>
    <row r="181" spans="1:33" ht="22.5" customHeight="1" x14ac:dyDescent="0.25">
      <c r="A181" s="140"/>
      <c r="B181" s="141"/>
      <c r="C181" s="145"/>
      <c r="D181" s="136"/>
      <c r="E181" s="136"/>
      <c r="F181" s="136"/>
      <c r="G181" s="170"/>
      <c r="H181" s="35" t="s">
        <v>225</v>
      </c>
      <c r="I181" s="149"/>
      <c r="J181" s="149"/>
      <c r="K181" s="134"/>
      <c r="L181" s="22"/>
      <c r="M181" s="38"/>
      <c r="N181" s="20"/>
      <c r="O181" s="20"/>
      <c r="P181" s="20"/>
      <c r="Q181" s="20"/>
      <c r="R181" s="20"/>
      <c r="S181" s="20"/>
      <c r="T181" s="20"/>
      <c r="U181" s="41">
        <f>((IF(N181=[10]Datos!$B$233,15,0))/100)+((IF(O181=[10]Datos!$B$229,5,0))/100)+((IF(P181=[10]Datos!$B$233,15,0))/100)+((IF(Q181=[10]Datos!$B$231,10,0))/100)+((IF(R181=[10]Datos!$B$233,15,0))/100)+((IF(S181=[10]Datos!$B$231,10,0))/100)+((IF(T181=[10]Datos!$B$235,30,0))/100)</f>
        <v>0</v>
      </c>
      <c r="V181" s="131"/>
      <c r="W181" s="128"/>
      <c r="X181" s="131"/>
      <c r="Y181" s="128"/>
      <c r="Z181" s="134"/>
      <c r="AA181" s="18"/>
      <c r="AB181" s="18"/>
      <c r="AC181" s="18"/>
      <c r="AD181" s="18"/>
      <c r="AE181" s="18"/>
      <c r="AF181" s="18"/>
      <c r="AG181" s="23"/>
    </row>
    <row r="182" spans="1:33" x14ac:dyDescent="0.25">
      <c r="A182" s="140"/>
      <c r="B182" s="141"/>
      <c r="C182" s="145"/>
      <c r="D182" s="136"/>
      <c r="E182" s="136"/>
      <c r="F182" s="136"/>
      <c r="G182" s="170"/>
      <c r="H182" s="35"/>
      <c r="I182" s="149"/>
      <c r="J182" s="149"/>
      <c r="K182" s="134"/>
      <c r="L182" s="22"/>
      <c r="M182" s="38"/>
      <c r="N182" s="20"/>
      <c r="O182" s="20"/>
      <c r="P182" s="20"/>
      <c r="Q182" s="20"/>
      <c r="R182" s="20"/>
      <c r="S182" s="20"/>
      <c r="T182" s="20"/>
      <c r="U182" s="41">
        <f>((IF(N182=[10]Datos!$B$233,15,0))/100)+((IF(O182=[10]Datos!$B$229,5,0))/100)+((IF(P182=[10]Datos!$B$233,15,0))/100)+((IF(Q182=[10]Datos!$B$231,10,0))/100)+((IF(R182=[10]Datos!$B$233,15,0))/100)+((IF(S182=[10]Datos!$B$231,10,0))/100)+((IF(T182=[10]Datos!$B$235,30,0))/100)</f>
        <v>0</v>
      </c>
      <c r="V182" s="131"/>
      <c r="W182" s="128"/>
      <c r="X182" s="131"/>
      <c r="Y182" s="128"/>
      <c r="Z182" s="134"/>
      <c r="AA182" s="18"/>
      <c r="AB182" s="18"/>
      <c r="AC182" s="18"/>
      <c r="AD182" s="18"/>
      <c r="AE182" s="18"/>
      <c r="AF182" s="18"/>
      <c r="AG182" s="23"/>
    </row>
    <row r="183" spans="1:33" ht="15.75" thickBot="1" x14ac:dyDescent="0.3">
      <c r="A183" s="142"/>
      <c r="B183" s="143"/>
      <c r="C183" s="146"/>
      <c r="D183" s="137"/>
      <c r="E183" s="137"/>
      <c r="F183" s="137"/>
      <c r="G183" s="171"/>
      <c r="H183" s="36"/>
      <c r="I183" s="150"/>
      <c r="J183" s="150"/>
      <c r="K183" s="135"/>
      <c r="L183" s="49"/>
      <c r="M183" s="39"/>
      <c r="N183" s="28"/>
      <c r="O183" s="28"/>
      <c r="P183" s="28"/>
      <c r="Q183" s="28"/>
      <c r="R183" s="28"/>
      <c r="S183" s="28"/>
      <c r="T183" s="28"/>
      <c r="U183" s="42">
        <f>((IF(N183=[10]Datos!$B$233,15,0))/100)+((IF(O183=[10]Datos!$B$229,5,0))/100)+((IF(P183=[10]Datos!$B$233,15,0))/100)+((IF(Q183=[10]Datos!$B$231,10,0))/100)+((IF(R183=[10]Datos!$B$233,15,0))/100)+((IF(S183=[10]Datos!$B$231,10,0))/100)+((IF(T183=[10]Datos!$B$235,30,0))/100)</f>
        <v>0</v>
      </c>
      <c r="V183" s="132"/>
      <c r="W183" s="129"/>
      <c r="X183" s="132"/>
      <c r="Y183" s="129"/>
      <c r="Z183" s="135"/>
      <c r="AA183" s="26"/>
      <c r="AB183" s="26"/>
      <c r="AC183" s="26"/>
      <c r="AD183" s="26"/>
      <c r="AE183" s="26"/>
      <c r="AF183" s="26"/>
      <c r="AG183" s="30"/>
    </row>
    <row r="184" spans="1:33" ht="39" customHeight="1" x14ac:dyDescent="0.25">
      <c r="A184" s="138" t="s">
        <v>228</v>
      </c>
      <c r="B184" s="139"/>
      <c r="C184" s="144" t="s">
        <v>542</v>
      </c>
      <c r="D184" s="147" t="s">
        <v>229</v>
      </c>
      <c r="E184" s="147"/>
      <c r="F184" s="147" t="s">
        <v>350</v>
      </c>
      <c r="G184" s="147" t="s">
        <v>351</v>
      </c>
      <c r="H184" s="43" t="s">
        <v>230</v>
      </c>
      <c r="I184" s="148" t="s">
        <v>45</v>
      </c>
      <c r="J184" s="148" t="s">
        <v>85</v>
      </c>
      <c r="K184" s="133" t="str">
        <f>IF(AND(I184=[11]Datos!$B$212,J184=[11]Datos!$B$219),[11]Datos!$D$216,IF(AND(I184=[11]Datos!$B$212,J184=[11]Datos!$B$220),[11]Datos!$E$216,IF(AND(I184=[11]Datos!$B$212,J184=[11]Datos!$B$221),[11]Datos!$F$216,IF(AND(I184=[11]Datos!$B$213,J184=[11]Datos!$B$219),[11]Datos!$D$215,IF(AND(I184=[11]Datos!$B$213,J184=[11]Datos!$B$220),[11]Datos!$E$215,IF(AND(I184=[11]Datos!$B$213,J184=[11]Datos!$B$221),[11]Datos!$F$215,IF(AND(I184=[11]Datos!$B$214,J184=[11]Datos!$B$219),[11]Datos!$D$214,IF(AND(I184=[11]Datos!$B$214,J184=[11]Datos!$B$220),[11]Datos!$E$214,IF(AND(I184=[11]Datos!$B$214,J184=[11]Datos!$B$221),[11]Datos!$F$214,IF(AND(I184=[11]Datos!$B$215,J184=[11]Datos!$B$219),[11]Datos!$D$213,IF(AND(I184=[11]Datos!$B$215,J184=[11]Datos!$B$220),[11]Datos!$E$213,IF(AND(I184=[11]Datos!$B$215,J184=[11]Datos!$B$221),[11]Datos!$F$213,IF(AND(I184=[11]Datos!$B$216,J184=[11]Datos!$B$219),[11]Datos!$D$212,IF(AND(I184=[11]Datos!$B$216,J184=[11]Datos!$B$220),[11]Datos!$E$212,IF(AND(I184=[11]Datos!$B$216,J184=[11]Datos!$B$221),[11]Datos!$F$212,"-")))))))))))))))</f>
        <v>ALTA 30</v>
      </c>
      <c r="L184" s="15" t="s">
        <v>231</v>
      </c>
      <c r="M184" s="37" t="s">
        <v>47</v>
      </c>
      <c r="N184" s="52" t="s">
        <v>48</v>
      </c>
      <c r="O184" s="52" t="s">
        <v>49</v>
      </c>
      <c r="P184" s="52" t="s">
        <v>50</v>
      </c>
      <c r="Q184" s="52" t="s">
        <v>51</v>
      </c>
      <c r="R184" s="52" t="s">
        <v>48</v>
      </c>
      <c r="S184" s="52" t="s">
        <v>51</v>
      </c>
      <c r="T184" s="52" t="s">
        <v>52</v>
      </c>
      <c r="U184" s="40">
        <f>((IF(N184=[11]Datos!$B$233,15,0))/100)+((IF(O184=[11]Datos!$B$229,5,0))/100)+((IF(P184=[11]Datos!$B$233,15,0))/100)+((IF(Q184=[11]Datos!$B$231,10,0))/100)+((IF(R184=[11]Datos!$B$233,15,0))/100)+((IF(S184=[11]Datos!$B$231,10,0))/100)+((IF(T184=[11]Datos!$B$235,30,0))/100)</f>
        <v>0.85000000000000009</v>
      </c>
      <c r="V184" s="130">
        <f>IF(ISERROR(((IF(M184=[11]Datos!$B$224,U184,0))+(IF(M185=[11]Datos!$B$224,U185,0))+(IF(M186=[11]Datos!$B$224,U186,0))+(IF(M187=[11]Datos!$B$224,U187,0))+(IF(M188=[11]Datos!$B$224,U188,0))+(IF(M189=[11]Datos!$B$224,U189,0)))/((IF(M184=[11]Datos!$B$224,1,0))+(IF(M185=[11]Datos!$B$224,1,0))+(IF(M186=[11]Datos!$B$224,1,0))+(IF(M187=[11]Datos!$B$224,1,0))+(IF(M188=[11]Datos!$B$224,1,0))+(IF(M189=[11]Datos!$B$224,1,0)))),0,(((IF(M184=[11]Datos!$B$224,U184,0))+(IF(M185=[11]Datos!$B$224,U185,0))+(IF(M186=[11]Datos!$B$224,U186,0))+(IF(M187=[11]Datos!$B$224,U187,0))+(IF(M188=[11]Datos!$B$224,U188,0))+(IF(M189=[11]Datos!$B$224,U189,0)))/((IF(M184=[11]Datos!$B$224,1,0))+(IF(M185=[11]Datos!$B$224,1,0))+(IF(M186=[11]Datos!$B$224,1,0))+(IF(M187=[11]Datos!$B$224,1,0))+(IF(M188=[11]Datos!$B$224,1,0))+(IF(M189=[11]Datos!$B$224,1,0)))))</f>
        <v>0.85000000000000009</v>
      </c>
      <c r="W184" s="127" t="str">
        <f>IF(I184="","-",(IF(V184&gt;0,(IF(I184=[11]Datos!$B$212,[11]Datos!$B$212,IF(AND(I184=[11]Datos!$B$213,V184&gt;0.49),[11]Datos!$B$212,IF(AND(I184=[11]Datos!$B$214,V184&gt;0.74),[11]Datos!$B$212,IF(AND(I184=[11]Datos!$B$214,V184&lt;0.75,V184&gt;0.49),[11]Datos!$B$213,IF(AND(I184=[11]Datos!$B$215,V184&gt;0.74),[11]Datos!$B$213,IF(AND(I184=[11]Datos!$B$215,V184&lt;0.75,V184&gt;0.49),[11]Datos!$B$214,IF(AND(I184=[11]Datos!$B$216,V184&gt;0.74),[11]Datos!$B$214,IF(AND(I184=[11]Datos!$B$216,V184&lt;0.75,V184&gt;0.49),[11]Datos!$B$215,I184))))))))),I184)))</f>
        <v>Rara vez - 1</v>
      </c>
      <c r="X184" s="130">
        <f>IF(ISERROR(((IF(M184=[11]Datos!$B$225,U184,0))+(IF(M185=[11]Datos!$B$225,U185,0))+(IF(M186=[11]Datos!$B$225,U186,0))+(IF(M187=[11]Datos!$B$225,U187,0))+(IF(M188=[11]Datos!$B$225,U188,0))+(IF(M189=[11]Datos!$B$225,U189,0))+(IF(M184=[11]Datos!$B$226,U184,0))+(IF(M185=[11]Datos!$B$226,U185,0))+(IF(M186=[11]Datos!$B$226,U186,0))+(IF(M187=[11]Datos!$B$226,U187,0))+(IF(M188=[11]Datos!$B$226,U188,0))+(IF(M189=[11]Datos!$B$226,U189,0)))/((IF(M184=[11]Datos!$B$225,1,0))+(IF(M185=[11]Datos!$B$225,1,0))+(IF(M186=[11]Datos!$B$225,1,0))+(IF(M187=[11]Datos!$B$225,1,0))+(IF(M188=[11]Datos!$B$225,1,0))+(IF(M189=[11]Datos!$B$225,1,0))+(IF(M184=[11]Datos!$B$226,1,0))+(IF(M185=[11]Datos!$B$226,1,0))+(IF(M186=[11]Datos!$B$226,1,0))+(IF(M187=[11]Datos!$B$226,1,0))+(IF(M188=[11]Datos!$B$226,1,0))+(IF(M189=[11]Datos!$B$226,1,0)))),0,((IF(M184=[11]Datos!$B$225,U184,0))+(IF(M185=[11]Datos!$B$225,U185,0))+(IF(M186=[11]Datos!$B$225,U186,0))+(IF(M187=[11]Datos!$B$225,U187,0))+(IF(M188=[11]Datos!$B$225,U188,0))+(IF(M189=[11]Datos!$B$225,U189,0))+(IF(M184=[11]Datos!$B$226,U184,0))+(IF(M185=[11]Datos!$B$226,U185,0))+(IF(M186=[11]Datos!$B$226,U186,0))+(IF(M187=[11]Datos!$B$226,U187,0))+(IF(M188=[11]Datos!$B$226,U188,0))+(IF(M189=[11]Datos!$B$226,U189,0)))/((IF(M184=[11]Datos!$B$225,1,0))+(IF(M185=[11]Datos!$B$225,1,0))+(IF(M186=[11]Datos!$B$225,1,0))+(IF(M187=[11]Datos!$B$225,1,0))+(IF(M188=[11]Datos!$B$225,1,0))+(IF(M189=[11]Datos!$B$225,1,0))+(IF(M184=[11]Datos!$B$226,1,0))+(IF(M185=[11]Datos!$B$226,1,0))+(IF(M186=[11]Datos!$B$226,1,0))+(IF(M187=[11]Datos!$B$226,1,0))+(IF(M188=[11]Datos!$B$226,1,0))+(IF(M189=[11]Datos!$B$226,1,0))))</f>
        <v>0.60000000000000009</v>
      </c>
      <c r="Y184" s="127" t="str">
        <f>IF(J184="","-",(IF(X184&gt;0,(IF(J184=[11]Datos!$B$219,[11]Datos!$B$219,IF(AND(J184=[11]Datos!$B$220,X184&gt;0.49),[11]Datos!$B$219,IF(AND(J184=[11]Datos!$B$221,X184&gt;0.74),[11]Datos!$B$219,IF(AND(J184=[11]Datos!$B$221,X184&lt;0.75,X184&gt;0.49),[11]Datos!$B$220,IF(AND(J184=[11]Datos!$B$222,X184&gt;0.74),[11]Datos!$B$220,IF(AND(J184=[11]Datos!$B$222,X184&lt;0.75,X184&gt;0.49),[11]Datos!$B$221,IF(AND(J184=[11]Datos!$B$223,X184&gt;0.74),[11]Datos!$B$221,IF(AND(J184=[11]Datos!$B$223,X184&lt;0.75,X184&gt;0.49),[11]Datos!$B$222,J184))))))))),J184)))</f>
        <v>Moderado - 5</v>
      </c>
      <c r="Z184" s="133" t="str">
        <f>IF(AND(W184=[11]Datos!$B$212,Y184=[11]Datos!$B$219),[11]Datos!$D$216,IF(AND(W184=[11]Datos!$B$212,Y184=[11]Datos!$B$220),[11]Datos!$E$216,IF(AND(W184=[11]Datos!$B$212,Y184=[11]Datos!$B$221),[11]Datos!$F$216,IF(AND(W184=[11]Datos!$B$213,Y184=[11]Datos!$B$219),[11]Datos!$D$215,IF(AND(W184=[11]Datos!$B$213,Y184=[11]Datos!$B$220),[11]Datos!$E$215,IF(AND(W184=[11]Datos!$B$213,Y184=[11]Datos!$B$221),[11]Datos!$F$215,IF(AND(W184=[11]Datos!$B$214,Y184=[11]Datos!$B$219),[11]Datos!$D$214,IF(AND(W184=[11]Datos!$B$214,Y184=[11]Datos!$B$220),[11]Datos!$E$214,IF(AND(W184=[11]Datos!$B$214,Y184=[11]Datos!$B$221),[11]Datos!$F$214,IF(AND(W184=[11]Datos!$B$215,Y184=[11]Datos!$B$219),[11]Datos!$D$213,IF(AND(W184=[11]Datos!$B$215,Y184=[11]Datos!$B$220),[11]Datos!$E$213,IF(AND(W184=[11]Datos!$B$215,Y184=[11]Datos!$B$221),[11]Datos!$F$213,IF(AND(W184=[11]Datos!$B$216,Y184=[11]Datos!$B$219),[11]Datos!$D$212,IF(AND(W184=[11]Datos!$B$216,Y184=[11]Datos!$B$220),[11]Datos!$E$212,IF(AND(W184=[11]Datos!$B$216,Y184=[11]Datos!$B$221),[11]Datos!$F$212,"-")))))))))))))))</f>
        <v>BAJA 5</v>
      </c>
      <c r="AA184" s="11"/>
      <c r="AB184" s="11"/>
      <c r="AC184" s="11"/>
      <c r="AD184" s="11"/>
      <c r="AE184" s="11"/>
      <c r="AF184" s="11"/>
      <c r="AG184" s="16"/>
    </row>
    <row r="185" spans="1:33" ht="52.5" customHeight="1" x14ac:dyDescent="0.25">
      <c r="A185" s="140"/>
      <c r="B185" s="141"/>
      <c r="C185" s="145"/>
      <c r="D185" s="136" t="s">
        <v>232</v>
      </c>
      <c r="E185" s="136"/>
      <c r="F185" s="136"/>
      <c r="G185" s="136"/>
      <c r="H185" s="96" t="s">
        <v>418</v>
      </c>
      <c r="I185" s="149"/>
      <c r="J185" s="149"/>
      <c r="K185" s="134"/>
      <c r="L185" s="34" t="s">
        <v>432</v>
      </c>
      <c r="M185" s="53" t="s">
        <v>47</v>
      </c>
      <c r="N185" s="52" t="s">
        <v>48</v>
      </c>
      <c r="O185" s="52" t="s">
        <v>49</v>
      </c>
      <c r="P185" s="52" t="s">
        <v>50</v>
      </c>
      <c r="Q185" s="52" t="s">
        <v>51</v>
      </c>
      <c r="R185" s="52" t="s">
        <v>48</v>
      </c>
      <c r="S185" s="52" t="s">
        <v>51</v>
      </c>
      <c r="T185" s="52" t="s">
        <v>52</v>
      </c>
      <c r="U185" s="41">
        <f>((IF(N185=[11]Datos!$B$233,15,0))/100)+((IF(O185=[11]Datos!$B$229,5,0))/100)+((IF(P185=[11]Datos!$B$233,15,0))/100)+((IF(Q185=[11]Datos!$B$231,10,0))/100)+((IF(R185=[11]Datos!$B$233,15,0))/100)+((IF(S185=[11]Datos!$B$231,10,0))/100)+((IF(T185=[11]Datos!$B$235,30,0))/100)</f>
        <v>0.85000000000000009</v>
      </c>
      <c r="V185" s="131"/>
      <c r="W185" s="128"/>
      <c r="X185" s="131"/>
      <c r="Y185" s="128"/>
      <c r="Z185" s="134"/>
      <c r="AA185" s="18"/>
      <c r="AB185" s="18"/>
      <c r="AC185" s="18"/>
      <c r="AD185" s="18"/>
      <c r="AE185" s="18"/>
      <c r="AF185" s="18"/>
      <c r="AG185" s="23"/>
    </row>
    <row r="186" spans="1:33" ht="45" x14ac:dyDescent="0.25">
      <c r="A186" s="140"/>
      <c r="B186" s="141"/>
      <c r="C186" s="145"/>
      <c r="D186" s="136" t="s">
        <v>233</v>
      </c>
      <c r="E186" s="136"/>
      <c r="F186" s="136"/>
      <c r="G186" s="136"/>
      <c r="H186" s="96" t="s">
        <v>358</v>
      </c>
      <c r="I186" s="149"/>
      <c r="J186" s="149"/>
      <c r="K186" s="134"/>
      <c r="L186" s="22" t="s">
        <v>352</v>
      </c>
      <c r="M186" s="38" t="s">
        <v>81</v>
      </c>
      <c r="N186" s="20" t="s">
        <v>50</v>
      </c>
      <c r="O186" s="20" t="s">
        <v>49</v>
      </c>
      <c r="P186" s="20" t="s">
        <v>50</v>
      </c>
      <c r="Q186" s="20" t="s">
        <v>51</v>
      </c>
      <c r="R186" s="20" t="s">
        <v>48</v>
      </c>
      <c r="S186" s="20" t="s">
        <v>50</v>
      </c>
      <c r="T186" s="20" t="s">
        <v>52</v>
      </c>
      <c r="U186" s="41">
        <f>((IF(N186=[11]Datos!$B$233,15,0))/100)+((IF(O186=[11]Datos!$B$229,5,0))/100)+((IF(P186=[11]Datos!$B$233,15,0))/100)+((IF(Q186=[11]Datos!$B$231,10,0))/100)+((IF(R186=[11]Datos!$B$233,15,0))/100)+((IF(S186=[11]Datos!$B$231,10,0))/100)+((IF(T186=[11]Datos!$B$235,30,0))/100)</f>
        <v>0.60000000000000009</v>
      </c>
      <c r="V186" s="131"/>
      <c r="W186" s="128"/>
      <c r="X186" s="131"/>
      <c r="Y186" s="128"/>
      <c r="Z186" s="134"/>
      <c r="AA186" s="18"/>
      <c r="AB186" s="18"/>
      <c r="AC186" s="18"/>
      <c r="AD186" s="79"/>
      <c r="AE186" s="18"/>
      <c r="AF186" s="79"/>
      <c r="AG186" s="81"/>
    </row>
    <row r="187" spans="1:33" ht="33.75" customHeight="1" x14ac:dyDescent="0.25">
      <c r="A187" s="140"/>
      <c r="B187" s="141"/>
      <c r="C187" s="145"/>
      <c r="D187" s="136" t="s">
        <v>234</v>
      </c>
      <c r="E187" s="136"/>
      <c r="F187" s="136"/>
      <c r="G187" s="136"/>
      <c r="H187" s="54" t="s">
        <v>235</v>
      </c>
      <c r="I187" s="149"/>
      <c r="J187" s="149"/>
      <c r="K187" s="134"/>
      <c r="L187" s="22"/>
      <c r="M187" s="38"/>
      <c r="N187" s="20"/>
      <c r="O187" s="20"/>
      <c r="P187" s="20"/>
      <c r="Q187" s="20"/>
      <c r="R187" s="20"/>
      <c r="S187" s="20"/>
      <c r="T187" s="20"/>
      <c r="U187" s="41">
        <f>((IF(N187=[11]Datos!$B$233,15,0))/100)+((IF(O187=[11]Datos!$B$229,5,0))/100)+((IF(P187=[11]Datos!$B$233,15,0))/100)+((IF(Q187=[11]Datos!$B$231,10,0))/100)+((IF(R187=[11]Datos!$B$233,15,0))/100)+((IF(S187=[11]Datos!$B$231,10,0))/100)+((IF(T187=[11]Datos!$B$235,30,0))/100)</f>
        <v>0</v>
      </c>
      <c r="V187" s="131"/>
      <c r="W187" s="128"/>
      <c r="X187" s="131"/>
      <c r="Y187" s="128"/>
      <c r="Z187" s="134"/>
      <c r="AA187" s="18"/>
      <c r="AB187" s="18"/>
      <c r="AC187" s="18"/>
      <c r="AD187" s="18"/>
      <c r="AE187" s="18"/>
      <c r="AF187" s="18"/>
      <c r="AG187" s="23"/>
    </row>
    <row r="188" spans="1:33" ht="38.25" customHeight="1" x14ac:dyDescent="0.25">
      <c r="A188" s="140"/>
      <c r="B188" s="141"/>
      <c r="C188" s="145"/>
      <c r="D188" s="136" t="s">
        <v>236</v>
      </c>
      <c r="E188" s="136"/>
      <c r="F188" s="136"/>
      <c r="G188" s="136"/>
      <c r="H188" s="35"/>
      <c r="I188" s="149"/>
      <c r="J188" s="149"/>
      <c r="K188" s="134"/>
      <c r="L188" s="22"/>
      <c r="M188" s="38"/>
      <c r="N188" s="20"/>
      <c r="O188" s="20"/>
      <c r="P188" s="20"/>
      <c r="Q188" s="20"/>
      <c r="R188" s="20"/>
      <c r="S188" s="20"/>
      <c r="T188" s="20"/>
      <c r="U188" s="41">
        <f>((IF(N188=[11]Datos!$B$233,15,0))/100)+((IF(O188=[11]Datos!$B$229,5,0))/100)+((IF(P188=[11]Datos!$B$233,15,0))/100)+((IF(Q188=[11]Datos!$B$231,10,0))/100)+((IF(R188=[11]Datos!$B$233,15,0))/100)+((IF(S188=[11]Datos!$B$231,10,0))/100)+((IF(T188=[11]Datos!$B$235,30,0))/100)</f>
        <v>0</v>
      </c>
      <c r="V188" s="131"/>
      <c r="W188" s="128"/>
      <c r="X188" s="131"/>
      <c r="Y188" s="128"/>
      <c r="Z188" s="134"/>
      <c r="AA188" s="18"/>
      <c r="AB188" s="18"/>
      <c r="AC188" s="18"/>
      <c r="AD188" s="18"/>
      <c r="AE188" s="18"/>
      <c r="AF188" s="18"/>
      <c r="AG188" s="23"/>
    </row>
    <row r="189" spans="1:33" ht="33" customHeight="1" thickBot="1" x14ac:dyDescent="0.3">
      <c r="A189" s="142"/>
      <c r="B189" s="143"/>
      <c r="C189" s="146"/>
      <c r="D189" s="137" t="s">
        <v>237</v>
      </c>
      <c r="E189" s="137"/>
      <c r="F189" s="137"/>
      <c r="G189" s="137"/>
      <c r="H189" s="36"/>
      <c r="I189" s="150"/>
      <c r="J189" s="150"/>
      <c r="K189" s="135"/>
      <c r="L189" s="49"/>
      <c r="M189" s="39"/>
      <c r="N189" s="28"/>
      <c r="O189" s="28"/>
      <c r="P189" s="28"/>
      <c r="Q189" s="28"/>
      <c r="R189" s="28"/>
      <c r="S189" s="28"/>
      <c r="T189" s="28"/>
      <c r="U189" s="42">
        <f>((IF(N189=[11]Datos!$B$233,15,0))/100)+((IF(O189=[11]Datos!$B$229,5,0))/100)+((IF(P189=[11]Datos!$B$233,15,0))/100)+((IF(Q189=[11]Datos!$B$231,10,0))/100)+((IF(R189=[11]Datos!$B$233,15,0))/100)+((IF(S189=[11]Datos!$B$231,10,0))/100)+((IF(T189=[11]Datos!$B$235,30,0))/100)</f>
        <v>0</v>
      </c>
      <c r="V189" s="132"/>
      <c r="W189" s="129"/>
      <c r="X189" s="132"/>
      <c r="Y189" s="129"/>
      <c r="Z189" s="135"/>
      <c r="AA189" s="26"/>
      <c r="AB189" s="26"/>
      <c r="AC189" s="26"/>
      <c r="AD189" s="26"/>
      <c r="AE189" s="26"/>
      <c r="AF189" s="26"/>
      <c r="AG189" s="30"/>
    </row>
    <row r="190" spans="1:33" ht="88.5" customHeight="1" x14ac:dyDescent="0.25">
      <c r="A190" s="163" t="s">
        <v>228</v>
      </c>
      <c r="B190" s="164"/>
      <c r="C190" s="144" t="s">
        <v>542</v>
      </c>
      <c r="D190" s="147" t="s">
        <v>238</v>
      </c>
      <c r="E190" s="147"/>
      <c r="F190" s="147" t="s">
        <v>239</v>
      </c>
      <c r="G190" s="147" t="s">
        <v>353</v>
      </c>
      <c r="H190" s="43" t="s">
        <v>240</v>
      </c>
      <c r="I190" s="148" t="s">
        <v>45</v>
      </c>
      <c r="J190" s="148" t="s">
        <v>46</v>
      </c>
      <c r="K190" s="133" t="str">
        <f>IF(AND(I190=[11]Datos!$B$212,J190=[11]Datos!$B$219),[11]Datos!$D$216,IF(AND(I190=[11]Datos!$B$212,J190=[11]Datos!$B$220),[11]Datos!$E$216,IF(AND(I190=[11]Datos!$B$212,J190=[11]Datos!$B$221),[11]Datos!$F$216,IF(AND(I190=[11]Datos!$B$213,J190=[11]Datos!$B$219),[11]Datos!$D$215,IF(AND(I190=[11]Datos!$B$213,J190=[11]Datos!$B$220),[11]Datos!$E$215,IF(AND(I190=[11]Datos!$B$213,J190=[11]Datos!$B$221),[11]Datos!$F$215,IF(AND(I190=[11]Datos!$B$214,J190=[11]Datos!$B$219),[11]Datos!$D$214,IF(AND(I190=[11]Datos!$B$214,J190=[11]Datos!$B$220),[11]Datos!$E$214,IF(AND(I190=[11]Datos!$B$214,J190=[11]Datos!$B$221),[11]Datos!$F$214,IF(AND(I190=[11]Datos!$B$215,J190=[11]Datos!$B$219),[11]Datos!$D$213,IF(AND(I190=[11]Datos!$B$215,J190=[11]Datos!$B$220),[11]Datos!$E$213,IF(AND(I190=[11]Datos!$B$215,J190=[11]Datos!$B$221),[11]Datos!$F$213,IF(AND(I190=[11]Datos!$B$216,J190=[11]Datos!$B$219),[11]Datos!$D$212,IF(AND(I190=[11]Datos!$B$216,J190=[11]Datos!$B$220),[11]Datos!$E$212,IF(AND(I190=[11]Datos!$B$216,J190=[11]Datos!$B$221),[11]Datos!$F$212,"-")))))))))))))))</f>
        <v>EXTREMA 60</v>
      </c>
      <c r="L190" s="11" t="s">
        <v>241</v>
      </c>
      <c r="M190" s="37" t="s">
        <v>47</v>
      </c>
      <c r="N190" s="13" t="s">
        <v>48</v>
      </c>
      <c r="O190" s="13" t="s">
        <v>49</v>
      </c>
      <c r="P190" s="13" t="s">
        <v>50</v>
      </c>
      <c r="Q190" s="13" t="s">
        <v>51</v>
      </c>
      <c r="R190" s="13" t="s">
        <v>48</v>
      </c>
      <c r="S190" s="13" t="s">
        <v>51</v>
      </c>
      <c r="T190" s="13" t="s">
        <v>52</v>
      </c>
      <c r="U190" s="40">
        <f>((IF(N190=[11]Datos!$B$233,15,0))/100)+((IF(O190=[11]Datos!$B$229,5,0))/100)+((IF(P190=[11]Datos!$B$233,15,0))/100)+((IF(Q190=[11]Datos!$B$231,10,0))/100)+((IF(R190=[11]Datos!$B$233,15,0))/100)+((IF(S190=[11]Datos!$B$231,10,0))/100)+((IF(T190=[11]Datos!$B$235,30,0))/100)</f>
        <v>0.85000000000000009</v>
      </c>
      <c r="V190" s="130">
        <f>IF(ISERROR(((IF(M190=[11]Datos!$B$224,U190,0))+(IF(M191=[11]Datos!$B$224,U191,0))+(IF(M192=[11]Datos!$B$224,U192,0))+(IF(M193=[11]Datos!$B$224,U193,0))+(IF(M194=[11]Datos!$B$224,U194,0))+(IF(M195=[11]Datos!$B$224,U195,0)))/((IF(M190=[11]Datos!$B$224,1,0))+(IF(M191=[11]Datos!$B$224,1,0))+(IF(M192=[11]Datos!$B$224,1,0))+(IF(M193=[11]Datos!$B$224,1,0))+(IF(M194=[11]Datos!$B$224,1,0))+(IF(M195=[11]Datos!$B$224,1,0)))),0,(((IF(M190=[11]Datos!$B$224,U190,0))+(IF(M191=[11]Datos!$B$224,U191,0))+(IF(M192=[11]Datos!$B$224,U192,0))+(IF(M193=[11]Datos!$B$224,U193,0))+(IF(M194=[11]Datos!$B$224,U194,0))+(IF(M195=[11]Datos!$B$224,U195,0)))/((IF(M190=[11]Datos!$B$224,1,0))+(IF(M191=[11]Datos!$B$224,1,0))+(IF(M192=[11]Datos!$B$224,1,0))+(IF(M193=[11]Datos!$B$224,1,0))+(IF(M194=[11]Datos!$B$224,1,0))+(IF(M195=[11]Datos!$B$224,1,0)))))</f>
        <v>0.85000000000000009</v>
      </c>
      <c r="W190" s="127" t="str">
        <f>IF(I190="","-",(IF(V190&gt;0,(IF(I190=[11]Datos!$B$212,[11]Datos!$B$212,IF(AND(I190=[11]Datos!$B$213,V190&gt;0.49),[11]Datos!$B$212,IF(AND(I190=[11]Datos!$B$214,V190&gt;0.74),[11]Datos!$B$212,IF(AND(I190=[11]Datos!$B$214,V190&lt;0.75,V190&gt;0.49),[11]Datos!$B$213,IF(AND(I190=[11]Datos!$B$215,V190&gt;0.74),[11]Datos!$B$213,IF(AND(I190=[11]Datos!$B$215,V190&lt;0.75,V190&gt;0.49),[11]Datos!$B$214,IF(AND(I190=[11]Datos!$B$216,V190&gt;0.74),[11]Datos!$B$214,IF(AND(I190=[11]Datos!$B$216,V190&lt;0.75,V190&gt;0.49),[11]Datos!$B$215,I190))))))))),I190)))</f>
        <v>Rara vez - 1</v>
      </c>
      <c r="X190" s="130">
        <f>IF(ISERROR(((IF(M190=[11]Datos!$B$225,U190,0))+(IF(M191=[11]Datos!$B$225,U191,0))+(IF(M192=[11]Datos!$B$225,U192,0))+(IF(M193=[11]Datos!$B$225,U193,0))+(IF(M194=[11]Datos!$B$225,U194,0))+(IF(M195=[11]Datos!$B$225,U195,0))+(IF(M190=[11]Datos!$B$226,U190,0))+(IF(M191=[11]Datos!$B$226,U191,0))+(IF(M192=[11]Datos!$B$226,U192,0))+(IF(M193=[11]Datos!$B$226,U193,0))+(IF(M194=[11]Datos!$B$226,U194,0))+(IF(M195=[11]Datos!$B$226,U195,0)))/((IF(M190=[11]Datos!$B$225,1,0))+(IF(M191=[11]Datos!$B$225,1,0))+(IF(M192=[11]Datos!$B$225,1,0))+(IF(M193=[11]Datos!$B$225,1,0))+(IF(M194=[11]Datos!$B$225,1,0))+(IF(M195=[11]Datos!$B$225,1,0))+(IF(M190=[11]Datos!$B$226,1,0))+(IF(M191=[11]Datos!$B$226,1,0))+(IF(M192=[11]Datos!$B$226,1,0))+(IF(M193=[11]Datos!$B$226,1,0))+(IF(M194=[11]Datos!$B$226,1,0))+(IF(M195=[11]Datos!$B$226,1,0)))),0,((IF(M190=[11]Datos!$B$225,U190,0))+(IF(M191=[11]Datos!$B$225,U191,0))+(IF(M192=[11]Datos!$B$225,U192,0))+(IF(M193=[11]Datos!$B$225,U193,0))+(IF(M194=[11]Datos!$B$225,U194,0))+(IF(M195=[11]Datos!$B$225,U195,0))+(IF(M190=[11]Datos!$B$226,U190,0))+(IF(M191=[11]Datos!$B$226,U191,0))+(IF(M192=[11]Datos!$B$226,U192,0))+(IF(M193=[11]Datos!$B$226,U193,0))+(IF(M194=[11]Datos!$B$226,U194,0))+(IF(M195=[11]Datos!$B$226,U195,0)))/((IF(M190=[11]Datos!$B$225,1,0))+(IF(M191=[11]Datos!$B$225,1,0))+(IF(M192=[11]Datos!$B$225,1,0))+(IF(M193=[11]Datos!$B$225,1,0))+(IF(M194=[11]Datos!$B$225,1,0))+(IF(M195=[11]Datos!$B$225,1,0))+(IF(M190=[11]Datos!$B$226,1,0))+(IF(M191=[11]Datos!$B$226,1,0))+(IF(M192=[11]Datos!$B$226,1,0))+(IF(M193=[11]Datos!$B$226,1,0))+(IF(M194=[11]Datos!$B$226,1,0))+(IF(M195=[11]Datos!$B$226,1,0))))</f>
        <v>0.85000000000000009</v>
      </c>
      <c r="Y190" s="127" t="str">
        <f>IF(J190="","-",(IF(X190&gt;0,(IF(J190=[11]Datos!$B$219,[11]Datos!$B$219,IF(AND(J190=[11]Datos!$B$220,X190&gt;0.49),[11]Datos!$B$219,IF(AND(J190=[11]Datos!$B$221,X190&gt;0.74),[11]Datos!$B$219,IF(AND(J190=[11]Datos!$B$221,X190&lt;0.75,X190&gt;0.49),[11]Datos!$B$220,IF(AND(J190=[11]Datos!$B$222,X190&gt;0.74),[11]Datos!$B$220,IF(AND(J190=[11]Datos!$B$222,X190&lt;0.75,X190&gt;0.49),[11]Datos!$B$221,IF(AND(J190=[11]Datos!$B$223,X190&gt;0.74),[11]Datos!$B$221,IF(AND(J190=[11]Datos!$B$223,X190&lt;0.75,X190&gt;0.49),[11]Datos!$B$222,J190))))))))),J190)))</f>
        <v>Moderado - 5</v>
      </c>
      <c r="Z190" s="133" t="str">
        <f>IF(AND(W190=[11]Datos!$B$212,Y190=[11]Datos!$B$219),[11]Datos!$D$216,IF(AND(W190=[11]Datos!$B$212,Y190=[11]Datos!$B$220),[11]Datos!$E$216,IF(AND(W190=[11]Datos!$B$212,Y190=[11]Datos!$B$221),[11]Datos!$F$216,IF(AND(W190=[11]Datos!$B$213,Y190=[11]Datos!$B$219),[11]Datos!$D$215,IF(AND(W190=[11]Datos!$B$213,Y190=[11]Datos!$B$220),[11]Datos!$E$215,IF(AND(W190=[11]Datos!$B$213,Y190=[11]Datos!$B$221),[11]Datos!$F$215,IF(AND(W190=[11]Datos!$B$214,Y190=[11]Datos!$B$219),[11]Datos!$D$214,IF(AND(W190=[11]Datos!$B$214,Y190=[11]Datos!$B$220),[11]Datos!$E$214,IF(AND(W190=[11]Datos!$B$214,Y190=[11]Datos!$B$221),[11]Datos!$F$214,IF(AND(W190=[11]Datos!$B$215,Y190=[11]Datos!$B$219),[11]Datos!$D$213,IF(AND(W190=[11]Datos!$B$215,Y190=[11]Datos!$B$220),[11]Datos!$E$213,IF(AND(W190=[11]Datos!$B$215,Y190=[11]Datos!$B$221),[11]Datos!$F$213,IF(AND(W190=[11]Datos!$B$216,Y190=[11]Datos!$B$219),[11]Datos!$D$212,IF(AND(W190=[11]Datos!$B$216,Y190=[11]Datos!$B$220),[11]Datos!$E$212,IF(AND(W190=[11]Datos!$B$216,Y190=[11]Datos!$B$221),[11]Datos!$F$212,"-")))))))))))))))</f>
        <v>BAJA 5</v>
      </c>
      <c r="AA190" s="11"/>
      <c r="AB190" s="11"/>
      <c r="AC190" s="11"/>
      <c r="AD190" s="11"/>
      <c r="AE190" s="11"/>
      <c r="AF190" s="11"/>
      <c r="AG190" s="16"/>
    </row>
    <row r="191" spans="1:33" ht="41.25" customHeight="1" x14ac:dyDescent="0.25">
      <c r="A191" s="165"/>
      <c r="B191" s="166"/>
      <c r="C191" s="145"/>
      <c r="D191" s="136" t="s">
        <v>242</v>
      </c>
      <c r="E191" s="136"/>
      <c r="F191" s="136"/>
      <c r="G191" s="136"/>
      <c r="H191" s="35" t="s">
        <v>243</v>
      </c>
      <c r="I191" s="149"/>
      <c r="J191" s="149"/>
      <c r="K191" s="134"/>
      <c r="L191" s="18" t="s">
        <v>244</v>
      </c>
      <c r="M191" s="38" t="s">
        <v>47</v>
      </c>
      <c r="N191" s="20" t="s">
        <v>48</v>
      </c>
      <c r="O191" s="20" t="s">
        <v>49</v>
      </c>
      <c r="P191" s="20" t="s">
        <v>50</v>
      </c>
      <c r="Q191" s="20" t="s">
        <v>51</v>
      </c>
      <c r="R191" s="20" t="s">
        <v>48</v>
      </c>
      <c r="S191" s="20" t="s">
        <v>51</v>
      </c>
      <c r="T191" s="20" t="s">
        <v>52</v>
      </c>
      <c r="U191" s="41">
        <f>((IF(N191=[11]Datos!$B$233,15,0))/100)+((IF(O191=[11]Datos!$B$229,5,0))/100)+((IF(P191=[11]Datos!$B$233,15,0))/100)+((IF(Q191=[11]Datos!$B$231,10,0))/100)+((IF(R191=[11]Datos!$B$233,15,0))/100)+((IF(S191=[11]Datos!$B$231,10,0))/100)+((IF(T191=[11]Datos!$B$235,30,0))/100)</f>
        <v>0.85000000000000009</v>
      </c>
      <c r="V191" s="131"/>
      <c r="W191" s="128"/>
      <c r="X191" s="131"/>
      <c r="Y191" s="128"/>
      <c r="Z191" s="134"/>
      <c r="AA191" s="18"/>
      <c r="AB191" s="18"/>
      <c r="AC191" s="18"/>
      <c r="AD191" s="18"/>
      <c r="AE191" s="18"/>
      <c r="AF191" s="18"/>
      <c r="AG191" s="23"/>
    </row>
    <row r="192" spans="1:33" ht="52.5" customHeight="1" x14ac:dyDescent="0.25">
      <c r="A192" s="165"/>
      <c r="B192" s="166"/>
      <c r="C192" s="145"/>
      <c r="D192" s="136" t="s">
        <v>245</v>
      </c>
      <c r="E192" s="136"/>
      <c r="F192" s="136"/>
      <c r="G192" s="136"/>
      <c r="H192" s="35" t="s">
        <v>246</v>
      </c>
      <c r="I192" s="149"/>
      <c r="J192" s="149"/>
      <c r="K192" s="134"/>
      <c r="L192" s="18" t="s">
        <v>247</v>
      </c>
      <c r="M192" s="38" t="s">
        <v>81</v>
      </c>
      <c r="N192" s="20" t="s">
        <v>48</v>
      </c>
      <c r="O192" s="20" t="s">
        <v>49</v>
      </c>
      <c r="P192" s="20" t="s">
        <v>50</v>
      </c>
      <c r="Q192" s="20" t="s">
        <v>51</v>
      </c>
      <c r="R192" s="20" t="s">
        <v>48</v>
      </c>
      <c r="S192" s="20" t="s">
        <v>51</v>
      </c>
      <c r="T192" s="20" t="s">
        <v>52</v>
      </c>
      <c r="U192" s="41">
        <f>((IF(N192=[11]Datos!$B$233,15,0))/100)+((IF(O192=[11]Datos!$B$229,5,0))/100)+((IF(P192=[11]Datos!$B$233,15,0))/100)+((IF(Q192=[11]Datos!$B$231,10,0))/100)+((IF(R192=[11]Datos!$B$233,15,0))/100)+((IF(S192=[11]Datos!$B$231,10,0))/100)+((IF(T192=[11]Datos!$B$235,30,0))/100)</f>
        <v>0.85000000000000009</v>
      </c>
      <c r="V192" s="131"/>
      <c r="W192" s="128"/>
      <c r="X192" s="131"/>
      <c r="Y192" s="128"/>
      <c r="Z192" s="134"/>
      <c r="AA192" s="18"/>
      <c r="AB192" s="18"/>
      <c r="AC192" s="18"/>
      <c r="AD192" s="79"/>
      <c r="AE192" s="18"/>
      <c r="AF192" s="79"/>
      <c r="AG192" s="81"/>
    </row>
    <row r="193" spans="1:33" ht="37.5" customHeight="1" x14ac:dyDescent="0.25">
      <c r="A193" s="165"/>
      <c r="B193" s="166"/>
      <c r="C193" s="145"/>
      <c r="D193" s="136" t="s">
        <v>248</v>
      </c>
      <c r="E193" s="136"/>
      <c r="F193" s="136"/>
      <c r="G193" s="136"/>
      <c r="H193" s="55" t="s">
        <v>249</v>
      </c>
      <c r="I193" s="149"/>
      <c r="J193" s="149"/>
      <c r="K193" s="134"/>
      <c r="L193" s="18" t="s">
        <v>250</v>
      </c>
      <c r="M193" s="38" t="s">
        <v>81</v>
      </c>
      <c r="N193" s="20" t="s">
        <v>48</v>
      </c>
      <c r="O193" s="20" t="s">
        <v>49</v>
      </c>
      <c r="P193" s="20" t="s">
        <v>50</v>
      </c>
      <c r="Q193" s="20" t="s">
        <v>51</v>
      </c>
      <c r="R193" s="20" t="s">
        <v>48</v>
      </c>
      <c r="S193" s="20" t="s">
        <v>51</v>
      </c>
      <c r="T193" s="20" t="s">
        <v>52</v>
      </c>
      <c r="U193" s="41">
        <f>((IF(N193=[11]Datos!$B$233,15,0))/100)+((IF(O193=[11]Datos!$B$229,5,0))/100)+((IF(P193=[11]Datos!$B$233,15,0))/100)+((IF(Q193=[11]Datos!$B$231,10,0))/100)+((IF(R193=[11]Datos!$B$233,15,0))/100)+((IF(S193=[11]Datos!$B$231,10,0))/100)+((IF(T193=[11]Datos!$B$235,30,0))/100)</f>
        <v>0.85000000000000009</v>
      </c>
      <c r="V193" s="131"/>
      <c r="W193" s="128"/>
      <c r="X193" s="131"/>
      <c r="Y193" s="128"/>
      <c r="Z193" s="134"/>
      <c r="AA193" s="18"/>
      <c r="AB193" s="18"/>
      <c r="AC193" s="18"/>
      <c r="AD193" s="18"/>
      <c r="AE193" s="18"/>
      <c r="AF193" s="18"/>
      <c r="AG193" s="23"/>
    </row>
    <row r="194" spans="1:33" ht="48.75" customHeight="1" x14ac:dyDescent="0.25">
      <c r="A194" s="165"/>
      <c r="B194" s="166"/>
      <c r="C194" s="145"/>
      <c r="D194" s="136" t="s">
        <v>529</v>
      </c>
      <c r="E194" s="136"/>
      <c r="F194" s="136"/>
      <c r="G194" s="136"/>
      <c r="H194" s="35" t="s">
        <v>251</v>
      </c>
      <c r="I194" s="149"/>
      <c r="J194" s="149"/>
      <c r="K194" s="134"/>
      <c r="L194" s="22"/>
      <c r="M194" s="38"/>
      <c r="N194" s="20"/>
      <c r="O194" s="20"/>
      <c r="P194" s="20"/>
      <c r="Q194" s="20"/>
      <c r="R194" s="20"/>
      <c r="S194" s="20"/>
      <c r="T194" s="20"/>
      <c r="U194" s="41">
        <f>((IF(N194=[11]Datos!$B$233,15,0))/100)+((IF(O194=[11]Datos!$B$229,5,0))/100)+((IF(P194=[11]Datos!$B$233,15,0))/100)+((IF(Q194=[11]Datos!$B$231,10,0))/100)+((IF(R194=[11]Datos!$B$233,15,0))/100)+((IF(S194=[11]Datos!$B$231,10,0))/100)+((IF(T194=[11]Datos!$B$235,30,0))/100)</f>
        <v>0</v>
      </c>
      <c r="V194" s="131"/>
      <c r="W194" s="128"/>
      <c r="X194" s="131"/>
      <c r="Y194" s="128"/>
      <c r="Z194" s="134"/>
      <c r="AA194" s="18"/>
      <c r="AB194" s="18"/>
      <c r="AC194" s="18"/>
      <c r="AD194" s="18"/>
      <c r="AE194" s="18"/>
      <c r="AF194" s="18"/>
      <c r="AG194" s="23"/>
    </row>
    <row r="195" spans="1:33" ht="38.25" customHeight="1" thickBot="1" x14ac:dyDescent="0.3">
      <c r="A195" s="167"/>
      <c r="B195" s="168"/>
      <c r="C195" s="146"/>
      <c r="D195" s="137" t="s">
        <v>252</v>
      </c>
      <c r="E195" s="137"/>
      <c r="F195" s="137"/>
      <c r="G195" s="137"/>
      <c r="H195" s="36" t="s">
        <v>253</v>
      </c>
      <c r="I195" s="150"/>
      <c r="J195" s="150"/>
      <c r="K195" s="135"/>
      <c r="L195" s="49"/>
      <c r="M195" s="39"/>
      <c r="N195" s="28"/>
      <c r="O195" s="28"/>
      <c r="P195" s="28"/>
      <c r="Q195" s="28"/>
      <c r="R195" s="28"/>
      <c r="S195" s="28"/>
      <c r="T195" s="28"/>
      <c r="U195" s="42">
        <f>((IF(N195=[11]Datos!$B$233,15,0))/100)+((IF(O195=[11]Datos!$B$229,5,0))/100)+((IF(P195=[11]Datos!$B$233,15,0))/100)+((IF(Q195=[11]Datos!$B$231,10,0))/100)+((IF(R195=[11]Datos!$B$233,15,0))/100)+((IF(S195=[11]Datos!$B$231,10,0))/100)+((IF(T195=[11]Datos!$B$235,30,0))/100)</f>
        <v>0</v>
      </c>
      <c r="V195" s="132"/>
      <c r="W195" s="129"/>
      <c r="X195" s="132"/>
      <c r="Y195" s="129"/>
      <c r="Z195" s="135"/>
      <c r="AA195" s="26"/>
      <c r="AB195" s="26"/>
      <c r="AC195" s="26"/>
      <c r="AD195" s="26"/>
      <c r="AE195" s="26"/>
      <c r="AF195" s="26"/>
      <c r="AG195" s="30"/>
    </row>
    <row r="196" spans="1:33" ht="31.5" customHeight="1" x14ac:dyDescent="0.25">
      <c r="A196" s="138" t="s">
        <v>228</v>
      </c>
      <c r="B196" s="139"/>
      <c r="C196" s="144" t="s">
        <v>542</v>
      </c>
      <c r="D196" s="147" t="s">
        <v>254</v>
      </c>
      <c r="E196" s="147"/>
      <c r="F196" s="147" t="s">
        <v>255</v>
      </c>
      <c r="G196" s="147" t="s">
        <v>256</v>
      </c>
      <c r="H196" s="43" t="s">
        <v>243</v>
      </c>
      <c r="I196" s="148" t="s">
        <v>45</v>
      </c>
      <c r="J196" s="148" t="s">
        <v>46</v>
      </c>
      <c r="K196" s="133" t="str">
        <f>IF(AND(I196=[11]Datos!$B$212,J196=[11]Datos!$B$219),[11]Datos!$D$216,IF(AND(I196=[11]Datos!$B$212,J196=[11]Datos!$B$220),[11]Datos!$E$216,IF(AND(I196=[11]Datos!$B$212,J196=[11]Datos!$B$221),[11]Datos!$F$216,IF(AND(I196=[11]Datos!$B$213,J196=[11]Datos!$B$219),[11]Datos!$D$215,IF(AND(I196=[11]Datos!$B$213,J196=[11]Datos!$B$220),[11]Datos!$E$215,IF(AND(I196=[11]Datos!$B$213,J196=[11]Datos!$B$221),[11]Datos!$F$215,IF(AND(I196=[11]Datos!$B$214,J196=[11]Datos!$B$219),[11]Datos!$D$214,IF(AND(I196=[11]Datos!$B$214,J196=[11]Datos!$B$220),[11]Datos!$E$214,IF(AND(I196=[11]Datos!$B$214,J196=[11]Datos!$B$221),[11]Datos!$F$214,IF(AND(I196=[11]Datos!$B$215,J196=[11]Datos!$B$219),[11]Datos!$D$213,IF(AND(I196=[11]Datos!$B$215,J196=[11]Datos!$B$220),[11]Datos!$E$213,IF(AND(I196=[11]Datos!$B$215,J196=[11]Datos!$B$221),[11]Datos!$F$213,IF(AND(I196=[11]Datos!$B$216,J196=[11]Datos!$B$219),[11]Datos!$D$212,IF(AND(I196=[11]Datos!$B$216,J196=[11]Datos!$B$220),[11]Datos!$E$212,IF(AND(I196=[11]Datos!$B$216,J196=[11]Datos!$B$221),[11]Datos!$F$212,"-")))))))))))))))</f>
        <v>EXTREMA 60</v>
      </c>
      <c r="L196" s="11" t="s">
        <v>257</v>
      </c>
      <c r="M196" s="37" t="s">
        <v>47</v>
      </c>
      <c r="N196" s="13" t="s">
        <v>48</v>
      </c>
      <c r="O196" s="13" t="s">
        <v>49</v>
      </c>
      <c r="P196" s="13" t="s">
        <v>50</v>
      </c>
      <c r="Q196" s="13" t="s">
        <v>51</v>
      </c>
      <c r="R196" s="13" t="s">
        <v>48</v>
      </c>
      <c r="S196" s="13" t="s">
        <v>51</v>
      </c>
      <c r="T196" s="13" t="s">
        <v>50</v>
      </c>
      <c r="U196" s="40">
        <f>((IF(N196=[11]Datos!$B$233,15,0))/100)+((IF(O196=[11]Datos!$B$229,5,0))/100)+((IF(P196=[11]Datos!$B$233,15,0))/100)+((IF(Q196=[11]Datos!$B$231,10,0))/100)+((IF(R196=[11]Datos!$B$233,15,0))/100)+((IF(S196=[11]Datos!$B$231,10,0))/100)+((IF(T196=[11]Datos!$B$235,30,0))/100)</f>
        <v>0.55000000000000004</v>
      </c>
      <c r="V196" s="130">
        <f>IF(ISERROR(((IF(M196=[11]Datos!$B$224,U196,0))+(IF(M197=[11]Datos!$B$224,U197,0))+(IF(M198=[11]Datos!$B$224,U198,0))+(IF(M199=[11]Datos!$B$224,U199,0))+(IF(M200=[11]Datos!$B$224,U200,0))+(IF(M201=[11]Datos!$B$224,U201,0)))/((IF(M196=[11]Datos!$B$224,1,0))+(IF(M197=[11]Datos!$B$224,1,0))+(IF(M198=[11]Datos!$B$224,1,0))+(IF(M199=[11]Datos!$B$224,1,0))+(IF(M200=[11]Datos!$B$224,1,0))+(IF(M201=[11]Datos!$B$224,1,0)))),0,(((IF(M196=[11]Datos!$B$224,U196,0))+(IF(M197=[11]Datos!$B$224,U197,0))+(IF(M198=[11]Datos!$B$224,U198,0))+(IF(M199=[11]Datos!$B$224,U199,0))+(IF(M200=[11]Datos!$B$224,U200,0))+(IF(M201=[11]Datos!$B$224,U201,0)))/((IF(M196=[11]Datos!$B$224,1,0))+(IF(M197=[11]Datos!$B$224,1,0))+(IF(M198=[11]Datos!$B$224,1,0))+(IF(M199=[11]Datos!$B$224,1,0))+(IF(M200=[11]Datos!$B$224,1,0))+(IF(M201=[11]Datos!$B$224,1,0)))))</f>
        <v>0.55000000000000004</v>
      </c>
      <c r="W196" s="127" t="str">
        <f>IF(I196="","-",(IF(V196&gt;0,(IF(I196=[11]Datos!$B$212,[11]Datos!$B$212,IF(AND(I196=[11]Datos!$B$213,V196&gt;0.49),[11]Datos!$B$212,IF(AND(I196=[11]Datos!$B$214,V196&gt;0.74),[11]Datos!$B$212,IF(AND(I196=[11]Datos!$B$214,V196&lt;0.75,V196&gt;0.49),[11]Datos!$B$213,IF(AND(I196=[11]Datos!$B$215,V196&gt;0.74),[11]Datos!$B$213,IF(AND(I196=[11]Datos!$B$215,V196&lt;0.75,V196&gt;0.49),[11]Datos!$B$214,IF(AND(I196=[11]Datos!$B$216,V196&gt;0.74),[11]Datos!$B$214,IF(AND(I196=[11]Datos!$B$216,V196&lt;0.75,V196&gt;0.49),[11]Datos!$B$215,I196))))))))),I196)))</f>
        <v>Improbable - 2</v>
      </c>
      <c r="X196" s="130">
        <f>IF(ISERROR(((IF(M196=[11]Datos!$B$225,U196,0))+(IF(M197=[11]Datos!$B$225,U197,0))+(IF(M198=[11]Datos!$B$225,U198,0))+(IF(M199=[11]Datos!$B$225,U199,0))+(IF(M200=[11]Datos!$B$225,U200,0))+(IF(M201=[11]Datos!$B$225,U201,0))+(IF(M196=[11]Datos!$B$226,U196,0))+(IF(M197=[11]Datos!$B$226,U197,0))+(IF(M198=[11]Datos!$B$226,U198,0))+(IF(M199=[11]Datos!$B$226,U199,0))+(IF(M200=[11]Datos!$B$226,U200,0))+(IF(M201=[11]Datos!$B$226,U201,0)))/((IF(M196=[11]Datos!$B$225,1,0))+(IF(M197=[11]Datos!$B$225,1,0))+(IF(M198=[11]Datos!$B$225,1,0))+(IF(M199=[11]Datos!$B$225,1,0))+(IF(M200=[11]Datos!$B$225,1,0))+(IF(M201=[11]Datos!$B$225,1,0))+(IF(M196=[11]Datos!$B$226,1,0))+(IF(M197=[11]Datos!$B$226,1,0))+(IF(M198=[11]Datos!$B$226,1,0))+(IF(M199=[11]Datos!$B$226,1,0))+(IF(M200=[11]Datos!$B$226,1,0))+(IF(M201=[11]Datos!$B$226,1,0)))),0,((IF(M196=[11]Datos!$B$225,U196,0))+(IF(M197=[11]Datos!$B$225,U197,0))+(IF(M198=[11]Datos!$B$225,U198,0))+(IF(M199=[11]Datos!$B$225,U199,0))+(IF(M200=[11]Datos!$B$225,U200,0))+(IF(M201=[11]Datos!$B$225,U201,0))+(IF(M196=[11]Datos!$B$226,U196,0))+(IF(M197=[11]Datos!$B$226,U197,0))+(IF(M198=[11]Datos!$B$226,U198,0))+(IF(M199=[11]Datos!$B$226,U199,0))+(IF(M200=[11]Datos!$B$226,U200,0))+(IF(M201=[11]Datos!$B$226,U201,0)))/((IF(M196=[11]Datos!$B$225,1,0))+(IF(M197=[11]Datos!$B$225,1,0))+(IF(M198=[11]Datos!$B$225,1,0))+(IF(M199=[11]Datos!$B$225,1,0))+(IF(M200=[11]Datos!$B$225,1,0))+(IF(M201=[11]Datos!$B$225,1,0))+(IF(M196=[11]Datos!$B$226,1,0))+(IF(M197=[11]Datos!$B$226,1,0))+(IF(M198=[11]Datos!$B$226,1,0))+(IF(M199=[11]Datos!$B$226,1,0))+(IF(M200=[11]Datos!$B$226,1,0))+(IF(M201=[11]Datos!$B$226,1,0))))</f>
        <v>0.81666666666666676</v>
      </c>
      <c r="Y196" s="127" t="str">
        <f>IF(J196="","-",(IF(X196&gt;0,(IF(J196=[11]Datos!$B$219,[11]Datos!$B$219,IF(AND(J196=[11]Datos!$B$220,X196&gt;0.49),[11]Datos!$B$219,IF(AND(J196=[11]Datos!$B$221,X196&gt;0.74),[11]Datos!$B$219,IF(AND(J196=[11]Datos!$B$221,X196&lt;0.75,X196&gt;0.49),[11]Datos!$B$220,IF(AND(J196=[11]Datos!$B$222,X196&gt;0.74),[11]Datos!$B$220,IF(AND(J196=[11]Datos!$B$222,X196&lt;0.75,X196&gt;0.49),[11]Datos!$B$221,IF(AND(J196=[11]Datos!$B$223,X196&gt;0.74),[11]Datos!$B$221,IF(AND(J196=[11]Datos!$B$223,X196&lt;0.75,X196&gt;0.49),[11]Datos!$B$222,J196))))))))),J196)))</f>
        <v>Moderado - 5</v>
      </c>
      <c r="Z196" s="133" t="str">
        <f>IF(AND(W196=[11]Datos!$B$212,Y196=[11]Datos!$B$219),[11]Datos!$D$216,IF(AND(W196=[11]Datos!$B$212,Y196=[11]Datos!$B$220),[11]Datos!$E$216,IF(AND(W196=[11]Datos!$B$212,Y196=[11]Datos!$B$221),[11]Datos!$F$216,IF(AND(W196=[11]Datos!$B$213,Y196=[11]Datos!$B$219),[11]Datos!$D$215,IF(AND(W196=[11]Datos!$B$213,Y196=[11]Datos!$B$220),[11]Datos!$E$215,IF(AND(W196=[11]Datos!$B$213,Y196=[11]Datos!$B$221),[11]Datos!$F$215,IF(AND(W196=[11]Datos!$B$214,Y196=[11]Datos!$B$219),[11]Datos!$D$214,IF(AND(W196=[11]Datos!$B$214,Y196=[11]Datos!$B$220),[11]Datos!$E$214,IF(AND(W196=[11]Datos!$B$214,Y196=[11]Datos!$B$221),[11]Datos!$F$214,IF(AND(W196=[11]Datos!$B$215,Y196=[11]Datos!$B$219),[11]Datos!$D$213,IF(AND(W196=[11]Datos!$B$215,Y196=[11]Datos!$B$220),[11]Datos!$E$213,IF(AND(W196=[11]Datos!$B$215,Y196=[11]Datos!$B$221),[11]Datos!$F$213,IF(AND(W196=[11]Datos!$B$216,Y196=[11]Datos!$B$219),[11]Datos!$D$212,IF(AND(W196=[11]Datos!$B$216,Y196=[11]Datos!$B$220),[11]Datos!$E$212,IF(AND(W196=[11]Datos!$B$216,Y196=[11]Datos!$B$221),[11]Datos!$F$212,"-")))))))))))))))</f>
        <v>BAJA 10</v>
      </c>
      <c r="AA196" s="11"/>
      <c r="AB196" s="11"/>
      <c r="AC196" s="11"/>
      <c r="AD196" s="11"/>
      <c r="AE196" s="11"/>
      <c r="AF196" s="11"/>
      <c r="AG196" s="16"/>
    </row>
    <row r="197" spans="1:33" ht="24" customHeight="1" x14ac:dyDescent="0.25">
      <c r="A197" s="140"/>
      <c r="B197" s="141"/>
      <c r="C197" s="145"/>
      <c r="D197" s="162" t="s">
        <v>258</v>
      </c>
      <c r="E197" s="162"/>
      <c r="F197" s="136"/>
      <c r="G197" s="136"/>
      <c r="H197" s="35" t="s">
        <v>355</v>
      </c>
      <c r="I197" s="149"/>
      <c r="J197" s="149"/>
      <c r="K197" s="134"/>
      <c r="L197" s="18" t="s">
        <v>259</v>
      </c>
      <c r="M197" s="38" t="s">
        <v>81</v>
      </c>
      <c r="N197" s="20" t="s">
        <v>48</v>
      </c>
      <c r="O197" s="20" t="s">
        <v>49</v>
      </c>
      <c r="P197" s="20" t="s">
        <v>50</v>
      </c>
      <c r="Q197" s="20" t="s">
        <v>51</v>
      </c>
      <c r="R197" s="20" t="s">
        <v>48</v>
      </c>
      <c r="S197" s="20" t="s">
        <v>51</v>
      </c>
      <c r="T197" s="20" t="s">
        <v>52</v>
      </c>
      <c r="U197" s="41">
        <f>((IF(N197=[11]Datos!$B$233,15,0))/100)+((IF(O197=[11]Datos!$B$229,5,0))/100)+((IF(P197=[11]Datos!$B$233,15,0))/100)+((IF(Q197=[11]Datos!$B$231,10,0))/100)+((IF(R197=[11]Datos!$B$233,15,0))/100)+((IF(S197=[11]Datos!$B$231,10,0))/100)+((IF(T197=[11]Datos!$B$235,30,0))/100)</f>
        <v>0.85000000000000009</v>
      </c>
      <c r="V197" s="131"/>
      <c r="W197" s="128"/>
      <c r="X197" s="131"/>
      <c r="Y197" s="128"/>
      <c r="Z197" s="134"/>
      <c r="AA197" s="18"/>
      <c r="AB197" s="18"/>
      <c r="AC197" s="18"/>
      <c r="AD197" s="18"/>
      <c r="AE197" s="18"/>
      <c r="AF197" s="18"/>
      <c r="AG197" s="23"/>
    </row>
    <row r="198" spans="1:33" ht="30" x14ac:dyDescent="0.25">
      <c r="A198" s="140"/>
      <c r="B198" s="141"/>
      <c r="C198" s="145"/>
      <c r="D198" s="162" t="s">
        <v>260</v>
      </c>
      <c r="E198" s="162"/>
      <c r="F198" s="136"/>
      <c r="G198" s="136"/>
      <c r="H198" s="35" t="s">
        <v>261</v>
      </c>
      <c r="I198" s="149"/>
      <c r="J198" s="149"/>
      <c r="K198" s="134"/>
      <c r="L198" s="18" t="s">
        <v>262</v>
      </c>
      <c r="M198" s="38" t="s">
        <v>60</v>
      </c>
      <c r="N198" s="20" t="s">
        <v>48</v>
      </c>
      <c r="O198" s="20" t="s">
        <v>49</v>
      </c>
      <c r="P198" s="20" t="s">
        <v>50</v>
      </c>
      <c r="Q198" s="20" t="s">
        <v>51</v>
      </c>
      <c r="R198" s="20" t="s">
        <v>48</v>
      </c>
      <c r="S198" s="20" t="s">
        <v>51</v>
      </c>
      <c r="T198" s="20" t="s">
        <v>52</v>
      </c>
      <c r="U198" s="41">
        <f>((IF(N198=[11]Datos!$B$233,15,0))/100)+((IF(O198=[11]Datos!$B$229,5,0))/100)+((IF(P198=[11]Datos!$B$233,15,0))/100)+((IF(Q198=[11]Datos!$B$231,10,0))/100)+((IF(R198=[11]Datos!$B$233,15,0))/100)+((IF(S198=[11]Datos!$B$231,10,0))/100)+((IF(T198=[11]Datos!$B$235,30,0))/100)</f>
        <v>0.85000000000000009</v>
      </c>
      <c r="V198" s="131"/>
      <c r="W198" s="128"/>
      <c r="X198" s="131"/>
      <c r="Y198" s="128"/>
      <c r="Z198" s="134"/>
      <c r="AA198" s="18"/>
      <c r="AB198" s="18"/>
      <c r="AC198" s="18"/>
      <c r="AD198" s="79"/>
      <c r="AE198" s="18"/>
      <c r="AF198" s="79"/>
      <c r="AG198" s="81"/>
    </row>
    <row r="199" spans="1:33" ht="41.25" customHeight="1" x14ac:dyDescent="0.25">
      <c r="A199" s="140"/>
      <c r="B199" s="141"/>
      <c r="C199" s="145"/>
      <c r="D199" s="136" t="s">
        <v>354</v>
      </c>
      <c r="E199" s="136"/>
      <c r="F199" s="136"/>
      <c r="G199" s="136"/>
      <c r="H199" s="35" t="s">
        <v>263</v>
      </c>
      <c r="I199" s="149"/>
      <c r="J199" s="149"/>
      <c r="K199" s="134"/>
      <c r="L199" s="18" t="s">
        <v>264</v>
      </c>
      <c r="M199" s="38" t="s">
        <v>81</v>
      </c>
      <c r="N199" s="20" t="s">
        <v>48</v>
      </c>
      <c r="O199" s="20" t="s">
        <v>49</v>
      </c>
      <c r="P199" s="20" t="s">
        <v>50</v>
      </c>
      <c r="Q199" s="20" t="s">
        <v>51</v>
      </c>
      <c r="R199" s="20" t="s">
        <v>48</v>
      </c>
      <c r="S199" s="20" t="s">
        <v>50</v>
      </c>
      <c r="T199" s="20" t="s">
        <v>52</v>
      </c>
      <c r="U199" s="41">
        <f>((IF(N199=[11]Datos!$B$233,15,0))/100)+((IF(O199=[11]Datos!$B$229,5,0))/100)+((IF(P199=[11]Datos!$B$233,15,0))/100)+((IF(Q199=[11]Datos!$B$231,10,0))/100)+((IF(R199=[11]Datos!$B$233,15,0))/100)+((IF(S199=[11]Datos!$B$231,10,0))/100)+((IF(T199=[11]Datos!$B$235,30,0))/100)</f>
        <v>0.75</v>
      </c>
      <c r="V199" s="131"/>
      <c r="W199" s="128"/>
      <c r="X199" s="131"/>
      <c r="Y199" s="128"/>
      <c r="Z199" s="134"/>
      <c r="AA199" s="18"/>
      <c r="AB199" s="18"/>
      <c r="AC199" s="18"/>
      <c r="AD199" s="18"/>
      <c r="AE199" s="18"/>
      <c r="AF199" s="18"/>
      <c r="AG199" s="23"/>
    </row>
    <row r="200" spans="1:33" ht="30" x14ac:dyDescent="0.25">
      <c r="A200" s="140"/>
      <c r="B200" s="141"/>
      <c r="C200" s="145"/>
      <c r="D200" s="136"/>
      <c r="E200" s="136"/>
      <c r="F200" s="136"/>
      <c r="G200" s="136"/>
      <c r="H200" s="35" t="s">
        <v>265</v>
      </c>
      <c r="I200" s="149"/>
      <c r="J200" s="149"/>
      <c r="K200" s="134"/>
      <c r="L200" s="18"/>
      <c r="M200" s="38"/>
      <c r="N200" s="20"/>
      <c r="O200" s="20"/>
      <c r="P200" s="20"/>
      <c r="Q200" s="20"/>
      <c r="R200" s="20"/>
      <c r="S200" s="20"/>
      <c r="T200" s="20"/>
      <c r="U200" s="41">
        <f>((IF(N200=[11]Datos!$B$233,15,0))/100)+((IF(O200=[11]Datos!$B$229,5,0))/100)+((IF(P200=[11]Datos!$B$233,15,0))/100)+((IF(Q200=[11]Datos!$B$231,10,0))/100)+((IF(R200=[11]Datos!$B$233,15,0))/100)+((IF(S200=[11]Datos!$B$231,10,0))/100)+((IF(T200=[11]Datos!$B$235,30,0))/100)</f>
        <v>0</v>
      </c>
      <c r="V200" s="131"/>
      <c r="W200" s="128"/>
      <c r="X200" s="131"/>
      <c r="Y200" s="128"/>
      <c r="Z200" s="134"/>
      <c r="AA200" s="18"/>
      <c r="AB200" s="18"/>
      <c r="AC200" s="18"/>
      <c r="AD200" s="18"/>
      <c r="AE200" s="18"/>
      <c r="AF200" s="18"/>
      <c r="AG200" s="23"/>
    </row>
    <row r="201" spans="1:33" ht="15.75" thickBot="1" x14ac:dyDescent="0.3">
      <c r="A201" s="142"/>
      <c r="B201" s="143"/>
      <c r="C201" s="146"/>
      <c r="D201" s="137"/>
      <c r="E201" s="137"/>
      <c r="F201" s="137"/>
      <c r="G201" s="137"/>
      <c r="H201" s="36"/>
      <c r="I201" s="150"/>
      <c r="J201" s="150"/>
      <c r="K201" s="135"/>
      <c r="L201" s="26"/>
      <c r="M201" s="39"/>
      <c r="N201" s="28"/>
      <c r="O201" s="28"/>
      <c r="P201" s="28"/>
      <c r="Q201" s="28"/>
      <c r="R201" s="28"/>
      <c r="S201" s="28"/>
      <c r="T201" s="28"/>
      <c r="U201" s="42">
        <f>((IF(N201=[11]Datos!$B$233,15,0))/100)+((IF(O201=[11]Datos!$B$229,5,0))/100)+((IF(P201=[11]Datos!$B$233,15,0))/100)+((IF(Q201=[11]Datos!$B$231,10,0))/100)+((IF(R201=[11]Datos!$B$233,15,0))/100)+((IF(S201=[11]Datos!$B$231,10,0))/100)+((IF(T201=[11]Datos!$B$235,30,0))/100)</f>
        <v>0</v>
      </c>
      <c r="V201" s="132"/>
      <c r="W201" s="129"/>
      <c r="X201" s="132"/>
      <c r="Y201" s="129"/>
      <c r="Z201" s="135"/>
      <c r="AA201" s="26"/>
      <c r="AB201" s="26"/>
      <c r="AC201" s="26"/>
      <c r="AD201" s="26"/>
      <c r="AE201" s="26"/>
      <c r="AF201" s="26"/>
      <c r="AG201" s="30"/>
    </row>
    <row r="202" spans="1:33" ht="39" customHeight="1" x14ac:dyDescent="0.25">
      <c r="A202" s="138" t="s">
        <v>228</v>
      </c>
      <c r="B202" s="139"/>
      <c r="C202" s="144" t="s">
        <v>542</v>
      </c>
      <c r="D202" s="147" t="s">
        <v>266</v>
      </c>
      <c r="E202" s="147"/>
      <c r="F202" s="147" t="s">
        <v>267</v>
      </c>
      <c r="G202" s="147" t="s">
        <v>268</v>
      </c>
      <c r="H202" s="43" t="s">
        <v>269</v>
      </c>
      <c r="I202" s="148" t="s">
        <v>120</v>
      </c>
      <c r="J202" s="148" t="s">
        <v>85</v>
      </c>
      <c r="K202" s="133" t="str">
        <f>IF(AND(I202=[11]Datos!$B$212,J202=[11]Datos!$B$219),[11]Datos!$D$216,IF(AND(I202=[11]Datos!$B$212,J202=[11]Datos!$B$220),[11]Datos!$E$216,IF(AND(I202=[11]Datos!$B$212,J202=[11]Datos!$B$221),[11]Datos!$F$216,IF(AND(I202=[11]Datos!$B$213,J202=[11]Datos!$B$219),[11]Datos!$D$215,IF(AND(I202=[11]Datos!$B$213,J202=[11]Datos!$B$220),[11]Datos!$E$215,IF(AND(I202=[11]Datos!$B$213,J202=[11]Datos!$B$221),[11]Datos!$F$215,IF(AND(I202=[11]Datos!$B$214,J202=[11]Datos!$B$219),[11]Datos!$D$214,IF(AND(I202=[11]Datos!$B$214,J202=[11]Datos!$B$220),[11]Datos!$E$214,IF(AND(I202=[11]Datos!$B$214,J202=[11]Datos!$B$221),[11]Datos!$F$214,IF(AND(I202=[11]Datos!$B$215,J202=[11]Datos!$B$219),[11]Datos!$D$213,IF(AND(I202=[11]Datos!$B$215,J202=[11]Datos!$B$220),[11]Datos!$E$213,IF(AND(I202=[11]Datos!$B$215,J202=[11]Datos!$B$221),[11]Datos!$F$213,IF(AND(I202=[11]Datos!$B$216,J202=[11]Datos!$B$219),[11]Datos!$D$212,IF(AND(I202=[11]Datos!$B$216,J202=[11]Datos!$B$220),[11]Datos!$E$212,IF(AND(I202=[11]Datos!$B$216,J202=[11]Datos!$B$221),[11]Datos!$F$212,"-")))))))))))))))</f>
        <v>MODERADA 20</v>
      </c>
      <c r="L202" s="15" t="s">
        <v>270</v>
      </c>
      <c r="M202" s="37" t="s">
        <v>81</v>
      </c>
      <c r="N202" s="13" t="s">
        <v>48</v>
      </c>
      <c r="O202" s="13" t="s">
        <v>49</v>
      </c>
      <c r="P202" s="13" t="s">
        <v>48</v>
      </c>
      <c r="Q202" s="13" t="s">
        <v>50</v>
      </c>
      <c r="R202" s="13" t="s">
        <v>48</v>
      </c>
      <c r="S202" s="13" t="s">
        <v>51</v>
      </c>
      <c r="T202" s="13" t="s">
        <v>52</v>
      </c>
      <c r="U202" s="40">
        <f>((IF(N202=[11]Datos!$B$233,15,0))/100)+((IF(O202=[11]Datos!$B$229,5,0))/100)+((IF(P202=[11]Datos!$B$233,15,0))/100)+((IF(Q202=[11]Datos!$B$231,10,0))/100)+((IF(R202=[11]Datos!$B$233,15,0))/100)+((IF(S202=[11]Datos!$B$231,10,0))/100)+((IF(T202=[11]Datos!$B$235,30,0))/100)</f>
        <v>0.89999999999999991</v>
      </c>
      <c r="V202" s="130">
        <f>IF(ISERROR(((IF(M202=[11]Datos!$B$224,U202,0))+(IF(M203=[11]Datos!$B$224,U203,0))+(IF(M204=[11]Datos!$B$224,U204,0))+(IF(M205=[11]Datos!$B$224,U205,0))+(IF(M206=[11]Datos!$B$224,U206,0))+(IF(M207=[11]Datos!$B$224,U207,0)))/((IF(M202=[11]Datos!$B$224,1,0))+(IF(M203=[11]Datos!$B$224,1,0))+(IF(M204=[11]Datos!$B$224,1,0))+(IF(M205=[11]Datos!$B$224,1,0))+(IF(M206=[11]Datos!$B$224,1,0))+(IF(M207=[11]Datos!$B$224,1,0)))),0,(((IF(M202=[11]Datos!$B$224,U202,0))+(IF(M203=[11]Datos!$B$224,U203,0))+(IF(M204=[11]Datos!$B$224,U204,0))+(IF(M205=[11]Datos!$B$224,U205,0))+(IF(M206=[11]Datos!$B$224,U206,0))+(IF(M207=[11]Datos!$B$224,U207,0)))/((IF(M202=[11]Datos!$B$224,1,0))+(IF(M203=[11]Datos!$B$224,1,0))+(IF(M204=[11]Datos!$B$224,1,0))+(IF(M205=[11]Datos!$B$224,1,0))+(IF(M206=[11]Datos!$B$224,1,0))+(IF(M207=[11]Datos!$B$224,1,0)))))</f>
        <v>0.85000000000000009</v>
      </c>
      <c r="W202" s="127" t="str">
        <f>IF(I202="","-",(IF(V202&gt;0,(IF(I202=[11]Datos!$B$212,[11]Datos!$B$212,IF(AND(I202=[11]Datos!$B$213,V202&gt;0.49),[11]Datos!$B$212,IF(AND(I202=[11]Datos!$B$214,V202&gt;0.74),[11]Datos!$B$212,IF(AND(I202=[11]Datos!$B$214,V202&lt;0.75,V202&gt;0.49),[11]Datos!$B$213,IF(AND(I202=[11]Datos!$B$215,V202&gt;0.74),[11]Datos!$B$213,IF(AND(I202=[11]Datos!$B$215,V202&lt;0.75,V202&gt;0.49),[11]Datos!$B$214,IF(AND(I202=[11]Datos!$B$216,V202&gt;0.74),[11]Datos!$B$214,IF(AND(I202=[11]Datos!$B$216,V202&lt;0.75,V202&gt;0.49),[11]Datos!$B$215,I202))))))))),I202)))</f>
        <v>Rara vez - 1</v>
      </c>
      <c r="X202" s="130">
        <f>IF(ISERROR(((IF(M202=[11]Datos!$B$225,U202,0))+(IF(M203=[11]Datos!$B$225,U203,0))+(IF(M204=[11]Datos!$B$225,U204,0))+(IF(M205=[11]Datos!$B$225,U205,0))+(IF(M206=[11]Datos!$B$225,U206,0))+(IF(M207=[11]Datos!$B$225,U207,0))+(IF(M202=[11]Datos!$B$226,U202,0))+(IF(M203=[11]Datos!$B$226,U203,0))+(IF(M204=[11]Datos!$B$226,U204,0))+(IF(M205=[11]Datos!$B$226,U205,0))+(IF(M206=[11]Datos!$B$226,U206,0))+(IF(M207=[11]Datos!$B$226,U207,0)))/((IF(M202=[11]Datos!$B$225,1,0))+(IF(M203=[11]Datos!$B$225,1,0))+(IF(M204=[11]Datos!$B$225,1,0))+(IF(M205=[11]Datos!$B$225,1,0))+(IF(M206=[11]Datos!$B$225,1,0))+(IF(M207=[11]Datos!$B$225,1,0))+(IF(M202=[11]Datos!$B$226,1,0))+(IF(M203=[11]Datos!$B$226,1,0))+(IF(M204=[11]Datos!$B$226,1,0))+(IF(M205=[11]Datos!$B$226,1,0))+(IF(M206=[11]Datos!$B$226,1,0))+(IF(M207=[11]Datos!$B$226,1,0)))),0,((IF(M202=[11]Datos!$B$225,U202,0))+(IF(M203=[11]Datos!$B$225,U203,0))+(IF(M204=[11]Datos!$B$225,U204,0))+(IF(M205=[11]Datos!$B$225,U205,0))+(IF(M206=[11]Datos!$B$225,U206,0))+(IF(M207=[11]Datos!$B$225,U207,0))+(IF(M202=[11]Datos!$B$226,U202,0))+(IF(M203=[11]Datos!$B$226,U203,0))+(IF(M204=[11]Datos!$B$226,U204,0))+(IF(M205=[11]Datos!$B$226,U205,0))+(IF(M206=[11]Datos!$B$226,U206,0))+(IF(M207=[11]Datos!$B$226,U207,0)))/((IF(M202=[11]Datos!$B$225,1,0))+(IF(M203=[11]Datos!$B$225,1,0))+(IF(M204=[11]Datos!$B$225,1,0))+(IF(M205=[11]Datos!$B$225,1,0))+(IF(M206=[11]Datos!$B$225,1,0))+(IF(M207=[11]Datos!$B$225,1,0))+(IF(M202=[11]Datos!$B$226,1,0))+(IF(M203=[11]Datos!$B$226,1,0))+(IF(M204=[11]Datos!$B$226,1,0))+(IF(M205=[11]Datos!$B$226,1,0))+(IF(M206=[11]Datos!$B$226,1,0))+(IF(M207=[11]Datos!$B$226,1,0))))</f>
        <v>0.8666666666666667</v>
      </c>
      <c r="Y202" s="127" t="str">
        <f>IF(J202="","-",(IF(X202&gt;0,(IF(J202=[11]Datos!$B$219,[11]Datos!$B$219,IF(AND(J202=[11]Datos!$B$220,X202&gt;0.49),[11]Datos!$B$219,IF(AND(J202=[11]Datos!$B$221,X202&gt;0.74),[11]Datos!$B$219,IF(AND(J202=[11]Datos!$B$221,X202&lt;0.75,X202&gt;0.49),[11]Datos!$B$220,IF(AND(J202=[11]Datos!$B$222,X202&gt;0.74),[11]Datos!$B$220,IF(AND(J202=[11]Datos!$B$222,X202&lt;0.75,X202&gt;0.49),[11]Datos!$B$221,IF(AND(J202=[11]Datos!$B$223,X202&gt;0.74),[11]Datos!$B$221,IF(AND(J202=[11]Datos!$B$223,X202&lt;0.75,X202&gt;0.49),[11]Datos!$B$222,J202))))))))),J202)))</f>
        <v>Moderado - 5</v>
      </c>
      <c r="Z202" s="133" t="str">
        <f>IF(AND(W202=[11]Datos!$B$212,Y202=[11]Datos!$B$219),[11]Datos!$D$216,IF(AND(W202=[11]Datos!$B$212,Y202=[11]Datos!$B$220),[11]Datos!$E$216,IF(AND(W202=[11]Datos!$B$212,Y202=[11]Datos!$B$221),[11]Datos!$F$216,IF(AND(W202=[11]Datos!$B$213,Y202=[11]Datos!$B$219),[11]Datos!$D$215,IF(AND(W202=[11]Datos!$B$213,Y202=[11]Datos!$B$220),[11]Datos!$E$215,IF(AND(W202=[11]Datos!$B$213,Y202=[11]Datos!$B$221),[11]Datos!$F$215,IF(AND(W202=[11]Datos!$B$214,Y202=[11]Datos!$B$219),[11]Datos!$D$214,IF(AND(W202=[11]Datos!$B$214,Y202=[11]Datos!$B$220),[11]Datos!$E$214,IF(AND(W202=[11]Datos!$B$214,Y202=[11]Datos!$B$221),[11]Datos!$F$214,IF(AND(W202=[11]Datos!$B$215,Y202=[11]Datos!$B$219),[11]Datos!$D$213,IF(AND(W202=[11]Datos!$B$215,Y202=[11]Datos!$B$220),[11]Datos!$E$213,IF(AND(W202=[11]Datos!$B$215,Y202=[11]Datos!$B$221),[11]Datos!$F$213,IF(AND(W202=[11]Datos!$B$216,Y202=[11]Datos!$B$219),[11]Datos!$D$212,IF(AND(W202=[11]Datos!$B$216,Y202=[11]Datos!$B$220),[11]Datos!$E$212,IF(AND(W202=[11]Datos!$B$216,Y202=[11]Datos!$B$221),[11]Datos!$F$212,"-")))))))))))))))</f>
        <v>BAJA 5</v>
      </c>
      <c r="AA202" s="11"/>
      <c r="AB202" s="11"/>
      <c r="AC202" s="11"/>
      <c r="AD202" s="11"/>
      <c r="AE202" s="11"/>
      <c r="AF202" s="11"/>
      <c r="AG202" s="16"/>
    </row>
    <row r="203" spans="1:33" ht="38.25" customHeight="1" x14ac:dyDescent="0.25">
      <c r="A203" s="140"/>
      <c r="B203" s="141"/>
      <c r="C203" s="145"/>
      <c r="D203" s="136" t="s">
        <v>271</v>
      </c>
      <c r="E203" s="136"/>
      <c r="F203" s="136"/>
      <c r="G203" s="136"/>
      <c r="H203" s="35" t="s">
        <v>272</v>
      </c>
      <c r="I203" s="149"/>
      <c r="J203" s="149"/>
      <c r="K203" s="134"/>
      <c r="L203" s="22" t="s">
        <v>273</v>
      </c>
      <c r="M203" s="38" t="s">
        <v>47</v>
      </c>
      <c r="N203" s="20" t="s">
        <v>48</v>
      </c>
      <c r="O203" s="20" t="s">
        <v>49</v>
      </c>
      <c r="P203" s="20" t="s">
        <v>50</v>
      </c>
      <c r="Q203" s="20" t="s">
        <v>51</v>
      </c>
      <c r="R203" s="20" t="s">
        <v>48</v>
      </c>
      <c r="S203" s="20" t="s">
        <v>51</v>
      </c>
      <c r="T203" s="20" t="s">
        <v>52</v>
      </c>
      <c r="U203" s="41">
        <f>((IF(N203=[11]Datos!$B$233,15,0))/100)+((IF(O203=[11]Datos!$B$229,5,0))/100)+((IF(P203=[11]Datos!$B$233,15,0))/100)+((IF(Q203=[11]Datos!$B$231,10,0))/100)+((IF(R203=[11]Datos!$B$233,15,0))/100)+((IF(S203=[11]Datos!$B$231,10,0))/100)+((IF(T203=[11]Datos!$B$235,30,0))/100)</f>
        <v>0.85000000000000009</v>
      </c>
      <c r="V203" s="131"/>
      <c r="W203" s="128"/>
      <c r="X203" s="131"/>
      <c r="Y203" s="128"/>
      <c r="Z203" s="134"/>
      <c r="AA203" s="18"/>
      <c r="AB203" s="18"/>
      <c r="AC203" s="18"/>
      <c r="AD203" s="18"/>
      <c r="AE203" s="18"/>
      <c r="AF203" s="18"/>
      <c r="AG203" s="23"/>
    </row>
    <row r="204" spans="1:33" ht="24.75" customHeight="1" x14ac:dyDescent="0.25">
      <c r="A204" s="140"/>
      <c r="B204" s="141"/>
      <c r="C204" s="145"/>
      <c r="D204" s="162" t="s">
        <v>274</v>
      </c>
      <c r="E204" s="162"/>
      <c r="F204" s="136"/>
      <c r="G204" s="136"/>
      <c r="H204" s="35" t="s">
        <v>275</v>
      </c>
      <c r="I204" s="149"/>
      <c r="J204" s="149"/>
      <c r="K204" s="134"/>
      <c r="L204" s="22" t="s">
        <v>276</v>
      </c>
      <c r="M204" s="38" t="s">
        <v>60</v>
      </c>
      <c r="N204" s="20" t="s">
        <v>48</v>
      </c>
      <c r="O204" s="20" t="s">
        <v>49</v>
      </c>
      <c r="P204" s="20" t="s">
        <v>50</v>
      </c>
      <c r="Q204" s="20" t="s">
        <v>51</v>
      </c>
      <c r="R204" s="20" t="s">
        <v>48</v>
      </c>
      <c r="S204" s="20" t="s">
        <v>51</v>
      </c>
      <c r="T204" s="20" t="s">
        <v>52</v>
      </c>
      <c r="U204" s="41">
        <f>((IF(N204=[11]Datos!$B$233,15,0))/100)+((IF(O204=[11]Datos!$B$229,5,0))/100)+((IF(P204=[11]Datos!$B$233,15,0))/100)+((IF(Q204=[11]Datos!$B$231,10,0))/100)+((IF(R204=[11]Datos!$B$233,15,0))/100)+((IF(S204=[11]Datos!$B$231,10,0))/100)+((IF(T204=[11]Datos!$B$235,30,0))/100)</f>
        <v>0.85000000000000009</v>
      </c>
      <c r="V204" s="131"/>
      <c r="W204" s="128"/>
      <c r="X204" s="131"/>
      <c r="Y204" s="128"/>
      <c r="Z204" s="134"/>
      <c r="AA204" s="18"/>
      <c r="AB204" s="18"/>
      <c r="AC204" s="18"/>
      <c r="AD204" s="79"/>
      <c r="AE204" s="18"/>
      <c r="AF204" s="79"/>
      <c r="AG204" s="81"/>
    </row>
    <row r="205" spans="1:33" ht="43.5" customHeight="1" x14ac:dyDescent="0.25">
      <c r="A205" s="140"/>
      <c r="B205" s="141"/>
      <c r="C205" s="145"/>
      <c r="D205" s="162" t="s">
        <v>277</v>
      </c>
      <c r="E205" s="162"/>
      <c r="F205" s="136"/>
      <c r="G205" s="136"/>
      <c r="H205" s="35" t="s">
        <v>278</v>
      </c>
      <c r="I205" s="149"/>
      <c r="J205" s="149"/>
      <c r="K205" s="134"/>
      <c r="L205" s="22" t="s">
        <v>279</v>
      </c>
      <c r="M205" s="38" t="s">
        <v>60</v>
      </c>
      <c r="N205" s="20" t="s">
        <v>48</v>
      </c>
      <c r="O205" s="20" t="s">
        <v>49</v>
      </c>
      <c r="P205" s="20" t="s">
        <v>50</v>
      </c>
      <c r="Q205" s="20" t="s">
        <v>51</v>
      </c>
      <c r="R205" s="20" t="s">
        <v>48</v>
      </c>
      <c r="S205" s="20" t="s">
        <v>51</v>
      </c>
      <c r="T205" s="20" t="s">
        <v>52</v>
      </c>
      <c r="U205" s="41">
        <f>((IF(N205=[11]Datos!$B$233,15,0))/100)+((IF(O205=[11]Datos!$B$229,5,0))/100)+((IF(P205=[11]Datos!$B$233,15,0))/100)+((IF(Q205=[11]Datos!$B$231,10,0))/100)+((IF(R205=[11]Datos!$B$233,15,0))/100)+((IF(S205=[11]Datos!$B$231,10,0))/100)+((IF(T205=[11]Datos!$B$235,30,0))/100)</f>
        <v>0.85000000000000009</v>
      </c>
      <c r="V205" s="131"/>
      <c r="W205" s="128"/>
      <c r="X205" s="131"/>
      <c r="Y205" s="128"/>
      <c r="Z205" s="134"/>
      <c r="AA205" s="18"/>
      <c r="AB205" s="18"/>
      <c r="AC205" s="18"/>
      <c r="AD205" s="18"/>
      <c r="AE205" s="18"/>
      <c r="AF205" s="18"/>
      <c r="AG205" s="23"/>
    </row>
    <row r="206" spans="1:33" ht="36" customHeight="1" x14ac:dyDescent="0.25">
      <c r="A206" s="140"/>
      <c r="B206" s="141"/>
      <c r="C206" s="145"/>
      <c r="D206" s="136"/>
      <c r="E206" s="136"/>
      <c r="F206" s="136"/>
      <c r="G206" s="136"/>
      <c r="H206" s="35" t="s">
        <v>280</v>
      </c>
      <c r="I206" s="149"/>
      <c r="J206" s="149"/>
      <c r="K206" s="134"/>
      <c r="L206" s="22"/>
      <c r="M206" s="38"/>
      <c r="N206" s="20"/>
      <c r="O206" s="20"/>
      <c r="P206" s="20"/>
      <c r="Q206" s="20"/>
      <c r="R206" s="20"/>
      <c r="S206" s="20"/>
      <c r="T206" s="20"/>
      <c r="U206" s="41">
        <f>((IF(N206=[11]Datos!$B$233,15,0))/100)+((IF(O206=[11]Datos!$B$229,5,0))/100)+((IF(P206=[11]Datos!$B$233,15,0))/100)+((IF(Q206=[11]Datos!$B$231,10,0))/100)+((IF(R206=[11]Datos!$B$233,15,0))/100)+((IF(S206=[11]Datos!$B$231,10,0))/100)+((IF(T206=[11]Datos!$B$235,30,0))/100)</f>
        <v>0</v>
      </c>
      <c r="V206" s="131"/>
      <c r="W206" s="128"/>
      <c r="X206" s="131"/>
      <c r="Y206" s="128"/>
      <c r="Z206" s="134"/>
      <c r="AA206" s="18"/>
      <c r="AB206" s="18"/>
      <c r="AC206" s="18"/>
      <c r="AD206" s="18"/>
      <c r="AE206" s="18"/>
      <c r="AF206" s="18"/>
      <c r="AG206" s="23"/>
    </row>
    <row r="207" spans="1:33" ht="15.75" thickBot="1" x14ac:dyDescent="0.3">
      <c r="A207" s="142"/>
      <c r="B207" s="143"/>
      <c r="C207" s="146"/>
      <c r="D207" s="137"/>
      <c r="E207" s="137"/>
      <c r="F207" s="137"/>
      <c r="G207" s="137"/>
      <c r="H207" s="36"/>
      <c r="I207" s="150"/>
      <c r="J207" s="150"/>
      <c r="K207" s="135"/>
      <c r="L207" s="49"/>
      <c r="M207" s="39"/>
      <c r="N207" s="28"/>
      <c r="O207" s="28"/>
      <c r="P207" s="28"/>
      <c r="Q207" s="28"/>
      <c r="R207" s="28"/>
      <c r="S207" s="28"/>
      <c r="T207" s="28"/>
      <c r="U207" s="42">
        <f>((IF(N207=[11]Datos!$B$233,15,0))/100)+((IF(O207=[11]Datos!$B$229,5,0))/100)+((IF(P207=[11]Datos!$B$233,15,0))/100)+((IF(Q207=[11]Datos!$B$231,10,0))/100)+((IF(R207=[11]Datos!$B$233,15,0))/100)+((IF(S207=[11]Datos!$B$231,10,0))/100)+((IF(T207=[11]Datos!$B$235,30,0))/100)</f>
        <v>0</v>
      </c>
      <c r="V207" s="132"/>
      <c r="W207" s="129"/>
      <c r="X207" s="132"/>
      <c r="Y207" s="129"/>
      <c r="Z207" s="135"/>
      <c r="AA207" s="26"/>
      <c r="AB207" s="26"/>
      <c r="AC207" s="26"/>
      <c r="AD207" s="26"/>
      <c r="AE207" s="26"/>
      <c r="AF207" s="26"/>
      <c r="AG207" s="30"/>
    </row>
    <row r="208" spans="1:33" ht="30" x14ac:dyDescent="0.25">
      <c r="A208" s="138" t="s">
        <v>228</v>
      </c>
      <c r="B208" s="139"/>
      <c r="C208" s="144" t="s">
        <v>542</v>
      </c>
      <c r="D208" s="147" t="s">
        <v>356</v>
      </c>
      <c r="E208" s="147"/>
      <c r="F208" s="147" t="s">
        <v>281</v>
      </c>
      <c r="G208" s="147" t="s">
        <v>282</v>
      </c>
      <c r="H208" s="43" t="s">
        <v>283</v>
      </c>
      <c r="I208" s="148" t="s">
        <v>45</v>
      </c>
      <c r="J208" s="148" t="s">
        <v>85</v>
      </c>
      <c r="K208" s="133" t="str">
        <f>IF(AND(I208=[11]Datos!$B$212,J208=[11]Datos!$B$219),[11]Datos!$D$216,IF(AND(I208=[11]Datos!$B$212,J208=[11]Datos!$B$220),[11]Datos!$E$216,IF(AND(I208=[11]Datos!$B$212,J208=[11]Datos!$B$221),[11]Datos!$F$216,IF(AND(I208=[11]Datos!$B$213,J208=[11]Datos!$B$219),[11]Datos!$D$215,IF(AND(I208=[11]Datos!$B$213,J208=[11]Datos!$B$220),[11]Datos!$E$215,IF(AND(I208=[11]Datos!$B$213,J208=[11]Datos!$B$221),[11]Datos!$F$215,IF(AND(I208=[11]Datos!$B$214,J208=[11]Datos!$B$219),[11]Datos!$D$214,IF(AND(I208=[11]Datos!$B$214,J208=[11]Datos!$B$220),[11]Datos!$E$214,IF(AND(I208=[11]Datos!$B$214,J208=[11]Datos!$B$221),[11]Datos!$F$214,IF(AND(I208=[11]Datos!$B$215,J208=[11]Datos!$B$219),[11]Datos!$D$213,IF(AND(I208=[11]Datos!$B$215,J208=[11]Datos!$B$220),[11]Datos!$E$213,IF(AND(I208=[11]Datos!$B$215,J208=[11]Datos!$B$221),[11]Datos!$F$213,IF(AND(I208=[11]Datos!$B$216,J208=[11]Datos!$B$219),[11]Datos!$D$212,IF(AND(I208=[11]Datos!$B$216,J208=[11]Datos!$B$220),[11]Datos!$E$212,IF(AND(I208=[11]Datos!$B$216,J208=[11]Datos!$B$221),[11]Datos!$F$212,"-")))))))))))))))</f>
        <v>ALTA 30</v>
      </c>
      <c r="L208" s="11" t="s">
        <v>284</v>
      </c>
      <c r="M208" s="37" t="s">
        <v>81</v>
      </c>
      <c r="N208" s="13" t="s">
        <v>48</v>
      </c>
      <c r="O208" s="13" t="s">
        <v>49</v>
      </c>
      <c r="P208" s="13" t="s">
        <v>50</v>
      </c>
      <c r="Q208" s="13" t="s">
        <v>51</v>
      </c>
      <c r="R208" s="13" t="s">
        <v>50</v>
      </c>
      <c r="S208" s="13" t="s">
        <v>51</v>
      </c>
      <c r="T208" s="13" t="s">
        <v>52</v>
      </c>
      <c r="U208" s="40">
        <f>((IF(N208=[11]Datos!$B$233,15,0))/100)+((IF(O208=[11]Datos!$B$229,5,0))/100)+((IF(P208=[11]Datos!$B$233,15,0))/100)+((IF(Q208=[11]Datos!$B$231,10,0))/100)+((IF(R208=[11]Datos!$B$233,15,0))/100)+((IF(S208=[11]Datos!$B$231,10,0))/100)+((IF(T208=[11]Datos!$B$235,30,0))/100)</f>
        <v>0.7</v>
      </c>
      <c r="V208" s="130">
        <f>IF(ISERROR(((IF(M208=[11]Datos!$B$224,U208,0))+(IF(M209=[11]Datos!$B$224,U209,0))+(IF(M210=[11]Datos!$B$224,U210,0))+(IF(M211=[11]Datos!$B$224,U211,0))+(IF(M212=[11]Datos!$B$224,U212,0))+(IF(M213=[11]Datos!$B$224,U213,0)))/((IF(M208=[11]Datos!$B$224,1,0))+(IF(M209=[11]Datos!$B$224,1,0))+(IF(M210=[11]Datos!$B$224,1,0))+(IF(M211=[11]Datos!$B$224,1,0))+(IF(M212=[11]Datos!$B$224,1,0))+(IF(M213=[11]Datos!$B$224,1,0)))),0,(((IF(M208=[11]Datos!$B$224,U208,0))+(IF(M209=[11]Datos!$B$224,U209,0))+(IF(M210=[11]Datos!$B$224,U210,0))+(IF(M211=[11]Datos!$B$224,U211,0))+(IF(M212=[11]Datos!$B$224,U212,0))+(IF(M213=[11]Datos!$B$224,U213,0)))/((IF(M208=[11]Datos!$B$224,1,0))+(IF(M209=[11]Datos!$B$224,1,0))+(IF(M210=[11]Datos!$B$224,1,0))+(IF(M211=[11]Datos!$B$224,1,0))+(IF(M212=[11]Datos!$B$224,1,0))+(IF(M213=[11]Datos!$B$224,1,0)))))</f>
        <v>0.71666666666666667</v>
      </c>
      <c r="W208" s="127" t="str">
        <f>IF(I208="","-",(IF(V208&gt;0,(IF(I208=[11]Datos!$B$212,[11]Datos!$B$212,IF(AND(I208=[11]Datos!$B$213,V208&gt;0.49),[11]Datos!$B$212,IF(AND(I208=[11]Datos!$B$214,V208&gt;0.74),[11]Datos!$B$212,IF(AND(I208=[11]Datos!$B$214,V208&lt;0.75,V208&gt;0.49),[11]Datos!$B$213,IF(AND(I208=[11]Datos!$B$215,V208&gt;0.74),[11]Datos!$B$213,IF(AND(I208=[11]Datos!$B$215,V208&lt;0.75,V208&gt;0.49),[11]Datos!$B$214,IF(AND(I208=[11]Datos!$B$216,V208&gt;0.74),[11]Datos!$B$214,IF(AND(I208=[11]Datos!$B$216,V208&lt;0.75,V208&gt;0.49),[11]Datos!$B$215,I208))))))))),I208)))</f>
        <v>Improbable - 2</v>
      </c>
      <c r="X208" s="130">
        <f>IF(ISERROR(((IF(M208=[11]Datos!$B$225,U208,0))+(IF(M209=[11]Datos!$B$225,U209,0))+(IF(M210=[11]Datos!$B$225,U210,0))+(IF(M211=[11]Datos!$B$225,U211,0))+(IF(M212=[11]Datos!$B$225,U212,0))+(IF(M213=[11]Datos!$B$225,U213,0))+(IF(M208=[11]Datos!$B$226,U208,0))+(IF(M209=[11]Datos!$B$226,U209,0))+(IF(M210=[11]Datos!$B$226,U210,0))+(IF(M211=[11]Datos!$B$226,U211,0))+(IF(M212=[11]Datos!$B$226,U212,0))+(IF(M213=[11]Datos!$B$226,U213,0)))/((IF(M208=[11]Datos!$B$225,1,0))+(IF(M209=[11]Datos!$B$225,1,0))+(IF(M210=[11]Datos!$B$225,1,0))+(IF(M211=[11]Datos!$B$225,1,0))+(IF(M212=[11]Datos!$B$225,1,0))+(IF(M213=[11]Datos!$B$225,1,0))+(IF(M208=[11]Datos!$B$226,1,0))+(IF(M209=[11]Datos!$B$226,1,0))+(IF(M210=[11]Datos!$B$226,1,0))+(IF(M211=[11]Datos!$B$226,1,0))+(IF(M212=[11]Datos!$B$226,1,0))+(IF(M213=[11]Datos!$B$226,1,0)))),0,((IF(M208=[11]Datos!$B$225,U208,0))+(IF(M209=[11]Datos!$B$225,U209,0))+(IF(M210=[11]Datos!$B$225,U210,0))+(IF(M211=[11]Datos!$B$225,U211,0))+(IF(M212=[11]Datos!$B$225,U212,0))+(IF(M213=[11]Datos!$B$225,U213,0))+(IF(M208=[11]Datos!$B$226,U208,0))+(IF(M209=[11]Datos!$B$226,U209,0))+(IF(M210=[11]Datos!$B$226,U210,0))+(IF(M211=[11]Datos!$B$226,U211,0))+(IF(M212=[11]Datos!$B$226,U212,0))+(IF(M213=[11]Datos!$B$226,U213,0)))/((IF(M208=[11]Datos!$B$225,1,0))+(IF(M209=[11]Datos!$B$225,1,0))+(IF(M210=[11]Datos!$B$225,1,0))+(IF(M211=[11]Datos!$B$225,1,0))+(IF(M212=[11]Datos!$B$225,1,0))+(IF(M213=[11]Datos!$B$225,1,0))+(IF(M208=[11]Datos!$B$226,1,0))+(IF(M209=[11]Datos!$B$226,1,0))+(IF(M210=[11]Datos!$B$226,1,0))+(IF(M211=[11]Datos!$B$226,1,0))+(IF(M212=[11]Datos!$B$226,1,0))+(IF(M213=[11]Datos!$B$226,1,0))))</f>
        <v>0.55000000000000004</v>
      </c>
      <c r="Y208" s="127" t="str">
        <f>IF(J208="","-",(IF(X208&gt;0,(IF(J208=[11]Datos!$B$219,[11]Datos!$B$219,IF(AND(J208=[11]Datos!$B$220,X208&gt;0.49),[11]Datos!$B$219,IF(AND(J208=[11]Datos!$B$221,X208&gt;0.74),[11]Datos!$B$219,IF(AND(J208=[11]Datos!$B$221,X208&lt;0.75,X208&gt;0.49),[11]Datos!$B$220,IF(AND(J208=[11]Datos!$B$222,X208&gt;0.74),[11]Datos!$B$220,IF(AND(J208=[11]Datos!$B$222,X208&lt;0.75,X208&gt;0.49),[11]Datos!$B$221,IF(AND(J208=[11]Datos!$B$223,X208&gt;0.74),[11]Datos!$B$221,IF(AND(J208=[11]Datos!$B$223,X208&lt;0.75,X208&gt;0.49),[11]Datos!$B$222,J208))))))))),J208)))</f>
        <v>Moderado - 5</v>
      </c>
      <c r="Z208" s="133" t="str">
        <f>IF(AND(W208=[11]Datos!$B$212,Y208=[11]Datos!$B$219),[11]Datos!$D$216,IF(AND(W208=[11]Datos!$B$212,Y208=[11]Datos!$B$220),[11]Datos!$E$216,IF(AND(W208=[11]Datos!$B$212,Y208=[11]Datos!$B$221),[11]Datos!$F$216,IF(AND(W208=[11]Datos!$B$213,Y208=[11]Datos!$B$219),[11]Datos!$D$215,IF(AND(W208=[11]Datos!$B$213,Y208=[11]Datos!$B$220),[11]Datos!$E$215,IF(AND(W208=[11]Datos!$B$213,Y208=[11]Datos!$B$221),[11]Datos!$F$215,IF(AND(W208=[11]Datos!$B$214,Y208=[11]Datos!$B$219),[11]Datos!$D$214,IF(AND(W208=[11]Datos!$B$214,Y208=[11]Datos!$B$220),[11]Datos!$E$214,IF(AND(W208=[11]Datos!$B$214,Y208=[11]Datos!$B$221),[11]Datos!$F$214,IF(AND(W208=[11]Datos!$B$215,Y208=[11]Datos!$B$219),[11]Datos!$D$213,IF(AND(W208=[11]Datos!$B$215,Y208=[11]Datos!$B$220),[11]Datos!$E$213,IF(AND(W208=[11]Datos!$B$215,Y208=[11]Datos!$B$221),[11]Datos!$F$213,IF(AND(W208=[11]Datos!$B$216,Y208=[11]Datos!$B$219),[11]Datos!$D$212,IF(AND(W208=[11]Datos!$B$216,Y208=[11]Datos!$B$220),[11]Datos!$E$212,IF(AND(W208=[11]Datos!$B$216,Y208=[11]Datos!$B$221),[11]Datos!$F$212,"-")))))))))))))))</f>
        <v>BAJA 10</v>
      </c>
      <c r="AA208" s="11"/>
      <c r="AB208" s="11"/>
      <c r="AC208" s="11"/>
      <c r="AD208" s="11"/>
      <c r="AE208" s="11"/>
      <c r="AF208" s="11"/>
      <c r="AG208" s="16"/>
    </row>
    <row r="209" spans="1:33" ht="30" x14ac:dyDescent="0.25">
      <c r="A209" s="140"/>
      <c r="B209" s="141"/>
      <c r="C209" s="145"/>
      <c r="D209" s="136" t="s">
        <v>285</v>
      </c>
      <c r="E209" s="136"/>
      <c r="F209" s="136"/>
      <c r="G209" s="136"/>
      <c r="H209" s="35" t="s">
        <v>286</v>
      </c>
      <c r="I209" s="149"/>
      <c r="J209" s="149"/>
      <c r="K209" s="134"/>
      <c r="L209" s="18" t="s">
        <v>287</v>
      </c>
      <c r="M209" s="38" t="s">
        <v>47</v>
      </c>
      <c r="N209" s="20" t="s">
        <v>48</v>
      </c>
      <c r="O209" s="20" t="s">
        <v>49</v>
      </c>
      <c r="P209" s="20" t="s">
        <v>50</v>
      </c>
      <c r="Q209" s="20" t="s">
        <v>51</v>
      </c>
      <c r="R209" s="20" t="s">
        <v>48</v>
      </c>
      <c r="S209" s="20" t="s">
        <v>51</v>
      </c>
      <c r="T209" s="20" t="s">
        <v>52</v>
      </c>
      <c r="U209" s="41">
        <f>((IF(N209=[11]Datos!$B$233,15,0))/100)+((IF(O209=[11]Datos!$B$229,5,0))/100)+((IF(P209=[11]Datos!$B$233,15,0))/100)+((IF(Q209=[11]Datos!$B$231,10,0))/100)+((IF(R209=[11]Datos!$B$233,15,0))/100)+((IF(S209=[11]Datos!$B$231,10,0))/100)+((IF(T209=[11]Datos!$B$235,30,0))/100)</f>
        <v>0.85000000000000009</v>
      </c>
      <c r="V209" s="131"/>
      <c r="W209" s="128"/>
      <c r="X209" s="131"/>
      <c r="Y209" s="128"/>
      <c r="Z209" s="134"/>
      <c r="AA209" s="18"/>
      <c r="AB209" s="18"/>
      <c r="AC209" s="18"/>
      <c r="AD209" s="18"/>
      <c r="AE209" s="18"/>
      <c r="AF209" s="18"/>
      <c r="AG209" s="81"/>
    </row>
    <row r="210" spans="1:33" ht="30" x14ac:dyDescent="0.25">
      <c r="A210" s="140"/>
      <c r="B210" s="141"/>
      <c r="C210" s="145"/>
      <c r="D210" s="136" t="s">
        <v>288</v>
      </c>
      <c r="E210" s="136"/>
      <c r="F210" s="136"/>
      <c r="G210" s="136"/>
      <c r="H210" s="35" t="s">
        <v>358</v>
      </c>
      <c r="I210" s="149"/>
      <c r="J210" s="149"/>
      <c r="K210" s="134"/>
      <c r="L210" s="18" t="s">
        <v>289</v>
      </c>
      <c r="M210" s="38" t="s">
        <v>47</v>
      </c>
      <c r="N210" s="20" t="s">
        <v>48</v>
      </c>
      <c r="O210" s="20" t="s">
        <v>49</v>
      </c>
      <c r="P210" s="20" t="s">
        <v>50</v>
      </c>
      <c r="Q210" s="20" t="s">
        <v>51</v>
      </c>
      <c r="R210" s="20" t="s">
        <v>50</v>
      </c>
      <c r="S210" s="20" t="s">
        <v>51</v>
      </c>
      <c r="T210" s="20" t="s">
        <v>50</v>
      </c>
      <c r="U210" s="41">
        <f>((IF(N210=[11]Datos!$B$233,15,0))/100)+((IF(O210=[11]Datos!$B$229,5,0))/100)+((IF(P210=[11]Datos!$B$233,15,0))/100)+((IF(Q210=[11]Datos!$B$231,10,0))/100)+((IF(R210=[11]Datos!$B$233,15,0))/100)+((IF(S210=[11]Datos!$B$231,10,0))/100)+((IF(T210=[11]Datos!$B$235,30,0))/100)</f>
        <v>0.4</v>
      </c>
      <c r="V210" s="131"/>
      <c r="W210" s="128"/>
      <c r="X210" s="131"/>
      <c r="Y210" s="128"/>
      <c r="Z210" s="134"/>
      <c r="AA210" s="18"/>
      <c r="AB210" s="18"/>
      <c r="AC210" s="18"/>
      <c r="AD210" s="79"/>
      <c r="AE210" s="18"/>
      <c r="AF210" s="79"/>
      <c r="AG210" s="81"/>
    </row>
    <row r="211" spans="1:33" ht="30" customHeight="1" x14ac:dyDescent="0.25">
      <c r="A211" s="140"/>
      <c r="B211" s="141"/>
      <c r="C211" s="145"/>
      <c r="D211" s="136" t="s">
        <v>357</v>
      </c>
      <c r="E211" s="136"/>
      <c r="F211" s="136"/>
      <c r="G211" s="136"/>
      <c r="H211" s="35"/>
      <c r="I211" s="149"/>
      <c r="J211" s="149"/>
      <c r="K211" s="134"/>
      <c r="L211" s="18" t="s">
        <v>290</v>
      </c>
      <c r="M211" s="38" t="s">
        <v>60</v>
      </c>
      <c r="N211" s="20" t="s">
        <v>48</v>
      </c>
      <c r="O211" s="20" t="s">
        <v>49</v>
      </c>
      <c r="P211" s="20" t="s">
        <v>50</v>
      </c>
      <c r="Q211" s="20" t="s">
        <v>51</v>
      </c>
      <c r="R211" s="20" t="s">
        <v>50</v>
      </c>
      <c r="S211" s="20" t="s">
        <v>51</v>
      </c>
      <c r="T211" s="20" t="s">
        <v>50</v>
      </c>
      <c r="U211" s="41">
        <f>((IF(N211=[11]Datos!$B$233,15,0))/100)+((IF(O211=[11]Datos!$B$229,5,0))/100)+((IF(P211=[11]Datos!$B$233,15,0))/100)+((IF(Q211=[11]Datos!$B$231,10,0))/100)+((IF(R211=[11]Datos!$B$233,15,0))/100)+((IF(S211=[11]Datos!$B$231,10,0))/100)+((IF(T211=[11]Datos!$B$235,30,0))/100)</f>
        <v>0.4</v>
      </c>
      <c r="V211" s="131"/>
      <c r="W211" s="128"/>
      <c r="X211" s="131"/>
      <c r="Y211" s="128"/>
      <c r="Z211" s="134"/>
      <c r="AA211" s="18"/>
      <c r="AB211" s="18"/>
      <c r="AC211" s="18"/>
      <c r="AD211" s="18"/>
      <c r="AE211" s="18"/>
      <c r="AF211" s="18"/>
      <c r="AG211" s="23"/>
    </row>
    <row r="212" spans="1:33" ht="30" customHeight="1" x14ac:dyDescent="0.25">
      <c r="A212" s="140"/>
      <c r="B212" s="141"/>
      <c r="C212" s="145"/>
      <c r="D212" s="136" t="s">
        <v>291</v>
      </c>
      <c r="E212" s="136"/>
      <c r="F212" s="136"/>
      <c r="G212" s="136"/>
      <c r="H212" s="35"/>
      <c r="I212" s="149"/>
      <c r="J212" s="149"/>
      <c r="K212" s="134"/>
      <c r="L212" s="18" t="s">
        <v>292</v>
      </c>
      <c r="M212" s="38" t="s">
        <v>47</v>
      </c>
      <c r="N212" s="20" t="s">
        <v>48</v>
      </c>
      <c r="O212" s="20" t="s">
        <v>49</v>
      </c>
      <c r="P212" s="20" t="s">
        <v>48</v>
      </c>
      <c r="Q212" s="20" t="s">
        <v>50</v>
      </c>
      <c r="R212" s="20" t="s">
        <v>48</v>
      </c>
      <c r="S212" s="20" t="s">
        <v>51</v>
      </c>
      <c r="T212" s="20" t="s">
        <v>52</v>
      </c>
      <c r="U212" s="41">
        <f>((IF(N212=[11]Datos!$B$233,15,0))/100)+((IF(O212=[11]Datos!$B$229,5,0))/100)+((IF(P212=[11]Datos!$B$233,15,0))/100)+((IF(Q212=[11]Datos!$B$231,10,0))/100)+((IF(R212=[11]Datos!$B$233,15,0))/100)+((IF(S212=[11]Datos!$B$231,10,0))/100)+((IF(T212=[11]Datos!$B$235,30,0))/100)</f>
        <v>0.89999999999999991</v>
      </c>
      <c r="V212" s="131"/>
      <c r="W212" s="128"/>
      <c r="X212" s="131"/>
      <c r="Y212" s="128"/>
      <c r="Z212" s="134"/>
      <c r="AA212" s="18"/>
      <c r="AB212" s="18"/>
      <c r="AC212" s="18"/>
      <c r="AD212" s="18"/>
      <c r="AE212" s="18"/>
      <c r="AF212" s="18"/>
      <c r="AG212" s="23"/>
    </row>
    <row r="213" spans="1:33" ht="27" customHeight="1" thickBot="1" x14ac:dyDescent="0.3">
      <c r="A213" s="142"/>
      <c r="B213" s="143"/>
      <c r="C213" s="146"/>
      <c r="D213" s="137"/>
      <c r="E213" s="137"/>
      <c r="F213" s="137"/>
      <c r="G213" s="137"/>
      <c r="H213" s="36"/>
      <c r="I213" s="150"/>
      <c r="J213" s="150"/>
      <c r="K213" s="135"/>
      <c r="L213" s="49"/>
      <c r="M213" s="39"/>
      <c r="N213" s="28"/>
      <c r="O213" s="28"/>
      <c r="P213" s="28"/>
      <c r="Q213" s="28"/>
      <c r="R213" s="28"/>
      <c r="S213" s="28"/>
      <c r="T213" s="28"/>
      <c r="U213" s="42">
        <f>((IF(N213=[11]Datos!$B$233,15,0))/100)+((IF(O213=[11]Datos!$B$229,5,0))/100)+((IF(P213=[11]Datos!$B$233,15,0))/100)+((IF(Q213=[11]Datos!$B$231,10,0))/100)+((IF(R213=[11]Datos!$B$233,15,0))/100)+((IF(S213=[11]Datos!$B$231,10,0))/100)+((IF(T213=[11]Datos!$B$235,30,0))/100)</f>
        <v>0</v>
      </c>
      <c r="V213" s="132"/>
      <c r="W213" s="129"/>
      <c r="X213" s="132"/>
      <c r="Y213" s="129"/>
      <c r="Z213" s="135"/>
      <c r="AA213" s="26"/>
      <c r="AB213" s="26"/>
      <c r="AC213" s="26"/>
      <c r="AD213" s="26"/>
      <c r="AE213" s="26"/>
      <c r="AF213" s="26"/>
      <c r="AG213" s="30"/>
    </row>
    <row r="214" spans="1:33" ht="52.5" customHeight="1" x14ac:dyDescent="0.25">
      <c r="A214" s="138" t="s">
        <v>228</v>
      </c>
      <c r="B214" s="139"/>
      <c r="C214" s="144" t="s">
        <v>542</v>
      </c>
      <c r="D214" s="147" t="s">
        <v>293</v>
      </c>
      <c r="E214" s="147"/>
      <c r="F214" s="147" t="s">
        <v>294</v>
      </c>
      <c r="G214" s="147" t="s">
        <v>295</v>
      </c>
      <c r="H214" s="43" t="s">
        <v>296</v>
      </c>
      <c r="I214" s="148" t="s">
        <v>45</v>
      </c>
      <c r="J214" s="148" t="s">
        <v>46</v>
      </c>
      <c r="K214" s="133" t="str">
        <f>IF(AND(I214=[11]Datos!$B$212,J214=[11]Datos!$B$219),[11]Datos!$D$216,IF(AND(I214=[11]Datos!$B$212,J214=[11]Datos!$B$220),[11]Datos!$E$216,IF(AND(I214=[11]Datos!$B$212,J214=[11]Datos!$B$221),[11]Datos!$F$216,IF(AND(I214=[11]Datos!$B$213,J214=[11]Datos!$B$219),[11]Datos!$D$215,IF(AND(I214=[11]Datos!$B$213,J214=[11]Datos!$B$220),[11]Datos!$E$215,IF(AND(I214=[11]Datos!$B$213,J214=[11]Datos!$B$221),[11]Datos!$F$215,IF(AND(I214=[11]Datos!$B$214,J214=[11]Datos!$B$219),[11]Datos!$D$214,IF(AND(I214=[11]Datos!$B$214,J214=[11]Datos!$B$220),[11]Datos!$E$214,IF(AND(I214=[11]Datos!$B$214,J214=[11]Datos!$B$221),[11]Datos!$F$214,IF(AND(I214=[11]Datos!$B$215,J214=[11]Datos!$B$219),[11]Datos!$D$213,IF(AND(I214=[11]Datos!$B$215,J214=[11]Datos!$B$220),[11]Datos!$E$213,IF(AND(I214=[11]Datos!$B$215,J214=[11]Datos!$B$221),[11]Datos!$F$213,IF(AND(I214=[11]Datos!$B$216,J214=[11]Datos!$B$219),[11]Datos!$D$212,IF(AND(I214=[11]Datos!$B$216,J214=[11]Datos!$B$220),[11]Datos!$E$212,IF(AND(I214=[11]Datos!$B$216,J214=[11]Datos!$B$221),[11]Datos!$F$212,"-")))))))))))))))</f>
        <v>EXTREMA 60</v>
      </c>
      <c r="L214" s="11" t="s">
        <v>297</v>
      </c>
      <c r="M214" s="37" t="s">
        <v>47</v>
      </c>
      <c r="N214" s="13" t="s">
        <v>48</v>
      </c>
      <c r="O214" s="13" t="s">
        <v>49</v>
      </c>
      <c r="P214" s="13" t="s">
        <v>50</v>
      </c>
      <c r="Q214" s="13" t="s">
        <v>51</v>
      </c>
      <c r="R214" s="13" t="s">
        <v>48</v>
      </c>
      <c r="S214" s="13" t="s">
        <v>51</v>
      </c>
      <c r="T214" s="13" t="s">
        <v>52</v>
      </c>
      <c r="U214" s="40">
        <f>((IF(N214=[11]Datos!$B$233,15,0))/100)+((IF(O214=[11]Datos!$B$229,5,0))/100)+((IF(P214=[11]Datos!$B$233,15,0))/100)+((IF(Q214=[11]Datos!$B$231,10,0))/100)+((IF(R214=[11]Datos!$B$233,15,0))/100)+((IF(S214=[11]Datos!$B$231,10,0))/100)+((IF(T214=[11]Datos!$B$235,30,0))/100)</f>
        <v>0.85000000000000009</v>
      </c>
      <c r="V214" s="130">
        <f>IF(ISERROR(((IF(M214=[11]Datos!$B$224,U214,0))+(IF(M215=[11]Datos!$B$224,U215,0))+(IF(M216=[11]Datos!$B$224,U216,0))+(IF(M217=[11]Datos!$B$224,U217,0))+(IF(M218=[11]Datos!$B$224,U218,0))+(IF(M219=[11]Datos!$B$224,U219,0)))/((IF(M214=[11]Datos!$B$224,1,0))+(IF(M215=[11]Datos!$B$224,1,0))+(IF(M216=[11]Datos!$B$224,1,0))+(IF(M217=[11]Datos!$B$224,1,0))+(IF(M218=[11]Datos!$B$224,1,0))+(IF(M219=[11]Datos!$B$224,1,0)))),0,(((IF(M214=[11]Datos!$B$224,U214,0))+(IF(M215=[11]Datos!$B$224,U215,0))+(IF(M216=[11]Datos!$B$224,U216,0))+(IF(M217=[11]Datos!$B$224,U217,0))+(IF(M218=[11]Datos!$B$224,U218,0))+(IF(M219=[11]Datos!$B$224,U219,0)))/((IF(M214=[11]Datos!$B$224,1,0))+(IF(M215=[11]Datos!$B$224,1,0))+(IF(M216=[11]Datos!$B$224,1,0))+(IF(M217=[11]Datos!$B$224,1,0))+(IF(M218=[11]Datos!$B$224,1,0))+(IF(M219=[11]Datos!$B$224,1,0)))))</f>
        <v>0.85000000000000009</v>
      </c>
      <c r="W214" s="127" t="str">
        <f>IF(I214="","-",(IF(V214&gt;0,(IF(I214=[11]Datos!$B$212,[11]Datos!$B$212,IF(AND(I214=[11]Datos!$B$213,V214&gt;0.49),[11]Datos!$B$212,IF(AND(I214=[11]Datos!$B$214,V214&gt;0.74),[11]Datos!$B$212,IF(AND(I214=[11]Datos!$B$214,V214&lt;0.75,V214&gt;0.49),[11]Datos!$B$213,IF(AND(I214=[11]Datos!$B$215,V214&gt;0.74),[11]Datos!$B$213,IF(AND(I214=[11]Datos!$B$215,V214&lt;0.75,V214&gt;0.49),[11]Datos!$B$214,IF(AND(I214=[11]Datos!$B$216,V214&gt;0.74),[11]Datos!$B$214,IF(AND(I214=[11]Datos!$B$216,V214&lt;0.75,V214&gt;0.49),[11]Datos!$B$215,I214))))))))),I214)))</f>
        <v>Rara vez - 1</v>
      </c>
      <c r="X214" s="130">
        <f>IF(ISERROR(((IF(M214=[11]Datos!$B$225,U214,0))+(IF(M215=[11]Datos!$B$225,U215,0))+(IF(M216=[11]Datos!$B$225,U216,0))+(IF(M217=[11]Datos!$B$225,U217,0))+(IF(M218=[11]Datos!$B$225,U218,0))+(IF(M219=[11]Datos!$B$225,U219,0))+(IF(M214=[11]Datos!$B$226,U214,0))+(IF(M215=[11]Datos!$B$226,U215,0))+(IF(M216=[11]Datos!$B$226,U216,0))+(IF(M217=[11]Datos!$B$226,U217,0))+(IF(M218=[11]Datos!$B$226,U218,0))+(IF(M219=[11]Datos!$B$226,U219,0)))/((IF(M214=[11]Datos!$B$225,1,0))+(IF(M215=[11]Datos!$B$225,1,0))+(IF(M216=[11]Datos!$B$225,1,0))+(IF(M217=[11]Datos!$B$225,1,0))+(IF(M218=[11]Datos!$B$225,1,0))+(IF(M219=[11]Datos!$B$225,1,0))+(IF(M214=[11]Datos!$B$226,1,0))+(IF(M215=[11]Datos!$B$226,1,0))+(IF(M216=[11]Datos!$B$226,1,0))+(IF(M217=[11]Datos!$B$226,1,0))+(IF(M218=[11]Datos!$B$226,1,0))+(IF(M219=[11]Datos!$B$226,1,0)))),0,((IF(M214=[11]Datos!$B$225,U214,0))+(IF(M215=[11]Datos!$B$225,U215,0))+(IF(M216=[11]Datos!$B$225,U216,0))+(IF(M217=[11]Datos!$B$225,U217,0))+(IF(M218=[11]Datos!$B$225,U218,0))+(IF(M219=[11]Datos!$B$225,U219,0))+(IF(M214=[11]Datos!$B$226,U214,0))+(IF(M215=[11]Datos!$B$226,U215,0))+(IF(M216=[11]Datos!$B$226,U216,0))+(IF(M217=[11]Datos!$B$226,U217,0))+(IF(M218=[11]Datos!$B$226,U218,0))+(IF(M219=[11]Datos!$B$226,U219,0)))/((IF(M214=[11]Datos!$B$225,1,0))+(IF(M215=[11]Datos!$B$225,1,0))+(IF(M216=[11]Datos!$B$225,1,0))+(IF(M217=[11]Datos!$B$225,1,0))+(IF(M218=[11]Datos!$B$225,1,0))+(IF(M219=[11]Datos!$B$225,1,0))+(IF(M214=[11]Datos!$B$226,1,0))+(IF(M215=[11]Datos!$B$226,1,0))+(IF(M216=[11]Datos!$B$226,1,0))+(IF(M217=[11]Datos!$B$226,1,0))+(IF(M218=[11]Datos!$B$226,1,0))+(IF(M219=[11]Datos!$B$226,1,0))))</f>
        <v>0.85000000000000009</v>
      </c>
      <c r="Y214" s="127" t="str">
        <f>IF(J214="","-",(IF(X214&gt;0,(IF(J214=[11]Datos!$B$219,[11]Datos!$B$219,IF(AND(J214=[11]Datos!$B$220,X214&gt;0.49),[11]Datos!$B$219,IF(AND(J214=[11]Datos!$B$221,X214&gt;0.74),[11]Datos!$B$219,IF(AND(J214=[11]Datos!$B$221,X214&lt;0.75,X214&gt;0.49),[11]Datos!$B$220,IF(AND(J214=[11]Datos!$B$222,X214&gt;0.74),[11]Datos!$B$220,IF(AND(J214=[11]Datos!$B$222,X214&lt;0.75,X214&gt;0.49),[11]Datos!$B$221,IF(AND(J214=[11]Datos!$B$223,X214&gt;0.74),[11]Datos!$B$221,IF(AND(J214=[11]Datos!$B$223,X214&lt;0.75,X214&gt;0.49),[11]Datos!$B$222,J214))))))))),J214)))</f>
        <v>Moderado - 5</v>
      </c>
      <c r="Z214" s="133" t="str">
        <f>IF(AND(W214=[11]Datos!$B$212,Y214=[11]Datos!$B$219),[11]Datos!$D$216,IF(AND(W214=[11]Datos!$B$212,Y214=[11]Datos!$B$220),[11]Datos!$E$216,IF(AND(W214=[11]Datos!$B$212,Y214=[11]Datos!$B$221),[11]Datos!$F$216,IF(AND(W214=[11]Datos!$B$213,Y214=[11]Datos!$B$219),[11]Datos!$D$215,IF(AND(W214=[11]Datos!$B$213,Y214=[11]Datos!$B$220),[11]Datos!$E$215,IF(AND(W214=[11]Datos!$B$213,Y214=[11]Datos!$B$221),[11]Datos!$F$215,IF(AND(W214=[11]Datos!$B$214,Y214=[11]Datos!$B$219),[11]Datos!$D$214,IF(AND(W214=[11]Datos!$B$214,Y214=[11]Datos!$B$220),[11]Datos!$E$214,IF(AND(W214=[11]Datos!$B$214,Y214=[11]Datos!$B$221),[11]Datos!$F$214,IF(AND(W214=[11]Datos!$B$215,Y214=[11]Datos!$B$219),[11]Datos!$D$213,IF(AND(W214=[11]Datos!$B$215,Y214=[11]Datos!$B$220),[11]Datos!$E$213,IF(AND(W214=[11]Datos!$B$215,Y214=[11]Datos!$B$221),[11]Datos!$F$213,IF(AND(W214=[11]Datos!$B$216,Y214=[11]Datos!$B$219),[11]Datos!$D$212,IF(AND(W214=[11]Datos!$B$216,Y214=[11]Datos!$B$220),[11]Datos!$E$212,IF(AND(W214=[11]Datos!$B$216,Y214=[11]Datos!$B$221),[11]Datos!$F$212,"-")))))))))))))))</f>
        <v>BAJA 5</v>
      </c>
      <c r="AA214" s="11"/>
      <c r="AB214" s="11"/>
      <c r="AC214" s="11"/>
      <c r="AD214" s="11"/>
      <c r="AE214" s="11"/>
      <c r="AF214" s="11"/>
      <c r="AG214" s="16"/>
    </row>
    <row r="215" spans="1:33" ht="24.75" customHeight="1" x14ac:dyDescent="0.25">
      <c r="A215" s="140"/>
      <c r="B215" s="141"/>
      <c r="C215" s="145"/>
      <c r="D215" s="136" t="s">
        <v>298</v>
      </c>
      <c r="E215" s="136"/>
      <c r="F215" s="136"/>
      <c r="G215" s="136"/>
      <c r="H215" s="35" t="s">
        <v>299</v>
      </c>
      <c r="I215" s="149"/>
      <c r="J215" s="149"/>
      <c r="K215" s="134"/>
      <c r="L215" s="18" t="s">
        <v>300</v>
      </c>
      <c r="M215" s="38" t="s">
        <v>81</v>
      </c>
      <c r="N215" s="20" t="s">
        <v>48</v>
      </c>
      <c r="O215" s="20" t="s">
        <v>49</v>
      </c>
      <c r="P215" s="20" t="s">
        <v>50</v>
      </c>
      <c r="Q215" s="20" t="s">
        <v>51</v>
      </c>
      <c r="R215" s="20" t="s">
        <v>48</v>
      </c>
      <c r="S215" s="20" t="s">
        <v>51</v>
      </c>
      <c r="T215" s="20" t="s">
        <v>52</v>
      </c>
      <c r="U215" s="41">
        <f>((IF(N215=[11]Datos!$B$233,15,0))/100)+((IF(O215=[11]Datos!$B$229,5,0))/100)+((IF(P215=[11]Datos!$B$233,15,0))/100)+((IF(Q215=[11]Datos!$B$231,10,0))/100)+((IF(R215=[11]Datos!$B$233,15,0))/100)+((IF(S215=[11]Datos!$B$231,10,0))/100)+((IF(T215=[11]Datos!$B$235,30,0))/100)</f>
        <v>0.85000000000000009</v>
      </c>
      <c r="V215" s="131"/>
      <c r="W215" s="128"/>
      <c r="X215" s="131"/>
      <c r="Y215" s="128"/>
      <c r="Z215" s="134"/>
      <c r="AA215" s="18"/>
      <c r="AB215" s="18"/>
      <c r="AC215" s="18"/>
      <c r="AD215" s="18"/>
      <c r="AE215" s="18"/>
      <c r="AF215" s="18"/>
      <c r="AG215" s="23"/>
    </row>
    <row r="216" spans="1:33" ht="22.5" customHeight="1" x14ac:dyDescent="0.25">
      <c r="A216" s="140"/>
      <c r="B216" s="141"/>
      <c r="C216" s="145"/>
      <c r="D216" s="136" t="s">
        <v>301</v>
      </c>
      <c r="E216" s="136"/>
      <c r="F216" s="136"/>
      <c r="G216" s="136"/>
      <c r="H216" s="35" t="s">
        <v>302</v>
      </c>
      <c r="I216" s="149"/>
      <c r="J216" s="149"/>
      <c r="K216" s="134"/>
      <c r="L216" s="22"/>
      <c r="M216" s="38"/>
      <c r="N216" s="20"/>
      <c r="O216" s="20"/>
      <c r="P216" s="20"/>
      <c r="Q216" s="20"/>
      <c r="R216" s="20"/>
      <c r="S216" s="20"/>
      <c r="T216" s="20"/>
      <c r="U216" s="41">
        <f>((IF(N216=[11]Datos!$B$233,15,0))/100)+((IF(O216=[11]Datos!$B$229,5,0))/100)+((IF(P216=[11]Datos!$B$233,15,0))/100)+((IF(Q216=[11]Datos!$B$231,10,0))/100)+((IF(R216=[11]Datos!$B$233,15,0))/100)+((IF(S216=[11]Datos!$B$231,10,0))/100)+((IF(T216=[11]Datos!$B$235,30,0))/100)</f>
        <v>0</v>
      </c>
      <c r="V216" s="131"/>
      <c r="W216" s="128"/>
      <c r="X216" s="131"/>
      <c r="Y216" s="128"/>
      <c r="Z216" s="134"/>
      <c r="AA216" s="18"/>
      <c r="AB216" s="18"/>
      <c r="AC216" s="18"/>
      <c r="AD216" s="79"/>
      <c r="AE216" s="18"/>
      <c r="AF216" s="79"/>
      <c r="AG216" s="81"/>
    </row>
    <row r="217" spans="1:33" ht="24" customHeight="1" x14ac:dyDescent="0.25">
      <c r="A217" s="140"/>
      <c r="B217" s="141"/>
      <c r="C217" s="145"/>
      <c r="D217" s="136" t="s">
        <v>303</v>
      </c>
      <c r="E217" s="136"/>
      <c r="F217" s="136"/>
      <c r="G217" s="136"/>
      <c r="H217" s="35" t="s">
        <v>304</v>
      </c>
      <c r="I217" s="149"/>
      <c r="J217" s="149"/>
      <c r="K217" s="134"/>
      <c r="L217" s="22"/>
      <c r="M217" s="38"/>
      <c r="N217" s="20"/>
      <c r="O217" s="20"/>
      <c r="P217" s="20"/>
      <c r="Q217" s="20"/>
      <c r="R217" s="20"/>
      <c r="S217" s="20"/>
      <c r="T217" s="20"/>
      <c r="U217" s="41">
        <f>((IF(N217=[11]Datos!$B$233,15,0))/100)+((IF(O217=[11]Datos!$B$229,5,0))/100)+((IF(P217=[11]Datos!$B$233,15,0))/100)+((IF(Q217=[11]Datos!$B$231,10,0))/100)+((IF(R217=[11]Datos!$B$233,15,0))/100)+((IF(S217=[11]Datos!$B$231,10,0))/100)+((IF(T217=[11]Datos!$B$235,30,0))/100)</f>
        <v>0</v>
      </c>
      <c r="V217" s="131"/>
      <c r="W217" s="128"/>
      <c r="X217" s="131"/>
      <c r="Y217" s="128"/>
      <c r="Z217" s="134"/>
      <c r="AA217" s="18"/>
      <c r="AB217" s="18"/>
      <c r="AC217" s="18"/>
      <c r="AD217" s="18"/>
      <c r="AE217" s="18"/>
      <c r="AF217" s="18"/>
      <c r="AG217" s="23"/>
    </row>
    <row r="218" spans="1:33" ht="37.5" customHeight="1" x14ac:dyDescent="0.25">
      <c r="A218" s="140"/>
      <c r="B218" s="141"/>
      <c r="C218" s="145"/>
      <c r="D218" s="136" t="s">
        <v>305</v>
      </c>
      <c r="E218" s="136"/>
      <c r="F218" s="136"/>
      <c r="G218" s="136"/>
      <c r="H218" s="35"/>
      <c r="I218" s="149"/>
      <c r="J218" s="149"/>
      <c r="K218" s="134"/>
      <c r="L218" s="22"/>
      <c r="M218" s="38"/>
      <c r="N218" s="20"/>
      <c r="O218" s="20"/>
      <c r="P218" s="20"/>
      <c r="Q218" s="20"/>
      <c r="R218" s="20"/>
      <c r="S218" s="20"/>
      <c r="T218" s="20"/>
      <c r="U218" s="41">
        <f>((IF(N218=[11]Datos!$B$233,15,0))/100)+((IF(O218=[11]Datos!$B$229,5,0))/100)+((IF(P218=[11]Datos!$B$233,15,0))/100)+((IF(Q218=[11]Datos!$B$231,10,0))/100)+((IF(R218=[11]Datos!$B$233,15,0))/100)+((IF(S218=[11]Datos!$B$231,10,0))/100)+((IF(T218=[11]Datos!$B$235,30,0))/100)</f>
        <v>0</v>
      </c>
      <c r="V218" s="131"/>
      <c r="W218" s="128"/>
      <c r="X218" s="131"/>
      <c r="Y218" s="128"/>
      <c r="Z218" s="134"/>
      <c r="AA218" s="18"/>
      <c r="AB218" s="18"/>
      <c r="AC218" s="18"/>
      <c r="AD218" s="18"/>
      <c r="AE218" s="18"/>
      <c r="AF218" s="18"/>
      <c r="AG218" s="23"/>
    </row>
    <row r="219" spans="1:33" ht="60" customHeight="1" thickBot="1" x14ac:dyDescent="0.3">
      <c r="A219" s="142"/>
      <c r="B219" s="143"/>
      <c r="C219" s="146"/>
      <c r="D219" s="160" t="s">
        <v>306</v>
      </c>
      <c r="E219" s="161"/>
      <c r="F219" s="137"/>
      <c r="G219" s="137"/>
      <c r="H219" s="36"/>
      <c r="I219" s="150"/>
      <c r="J219" s="150"/>
      <c r="K219" s="135"/>
      <c r="L219" s="49"/>
      <c r="M219" s="39"/>
      <c r="N219" s="28"/>
      <c r="O219" s="28"/>
      <c r="P219" s="28"/>
      <c r="Q219" s="28"/>
      <c r="R219" s="28"/>
      <c r="S219" s="28"/>
      <c r="T219" s="28"/>
      <c r="U219" s="42">
        <f>((IF(N219=[11]Datos!$B$233,15,0))/100)+((IF(O219=[11]Datos!$B$229,5,0))/100)+((IF(P219=[11]Datos!$B$233,15,0))/100)+((IF(Q219=[11]Datos!$B$231,10,0))/100)+((IF(R219=[11]Datos!$B$233,15,0))/100)+((IF(S219=[11]Datos!$B$231,10,0))/100)+((IF(T219=[11]Datos!$B$235,30,0))/100)</f>
        <v>0</v>
      </c>
      <c r="V219" s="132"/>
      <c r="W219" s="129"/>
      <c r="X219" s="132"/>
      <c r="Y219" s="129"/>
      <c r="Z219" s="135"/>
      <c r="AA219" s="26"/>
      <c r="AB219" s="26"/>
      <c r="AC219" s="26"/>
      <c r="AD219" s="26"/>
      <c r="AE219" s="26"/>
      <c r="AF219" s="26"/>
      <c r="AG219" s="30"/>
    </row>
    <row r="220" spans="1:33" ht="45" x14ac:dyDescent="0.25">
      <c r="A220" s="151" t="s">
        <v>535</v>
      </c>
      <c r="B220" s="127"/>
      <c r="C220" s="154" t="s">
        <v>441</v>
      </c>
      <c r="D220" s="147" t="s">
        <v>307</v>
      </c>
      <c r="E220" s="147"/>
      <c r="F220" s="147" t="s">
        <v>308</v>
      </c>
      <c r="G220" s="157" t="s">
        <v>309</v>
      </c>
      <c r="H220" s="59" t="s">
        <v>310</v>
      </c>
      <c r="I220" s="148" t="s">
        <v>45</v>
      </c>
      <c r="J220" s="148" t="s">
        <v>97</v>
      </c>
      <c r="K220" s="133" t="str">
        <f>IF(AND(I220=[12]Datos!$B$212,J220=[12]Datos!$B$219),[12]Datos!$D$216,IF(AND(I220=[12]Datos!$B$212,J220=[12]Datos!$B$220),[12]Datos!$E$216,IF(AND(I220=[12]Datos!$B$212,J220=[12]Datos!$B$221),[12]Datos!$F$216,IF(AND(I220=[12]Datos!$B$213,J220=[12]Datos!$B$219),[12]Datos!$D$215,IF(AND(I220=[12]Datos!$B$213,J220=[12]Datos!$B$220),[12]Datos!$E$215,IF(AND(I220=[12]Datos!$B$213,J220=[12]Datos!$B$221),[12]Datos!$F$215,IF(AND(I220=[12]Datos!$B$214,J220=[12]Datos!$B$219),[12]Datos!$D$214,IF(AND(I220=[12]Datos!$B$214,J220=[12]Datos!$B$220),[12]Datos!$E$214,IF(AND(I220=[12]Datos!$B$214,J220=[12]Datos!$B$221),[12]Datos!$F$214,IF(AND(I220=[12]Datos!$B$215,J220=[12]Datos!$B$219),[12]Datos!$D$213,IF(AND(I220=[12]Datos!$B$215,J220=[12]Datos!$B$220),[12]Datos!$E$213,IF(AND(I220=[12]Datos!$B$215,J220=[12]Datos!$B$221),[12]Datos!$F$213,IF(AND(I220=[12]Datos!$B$216,J220=[12]Datos!$B$219),[12]Datos!$D$212,IF(AND(I220=[12]Datos!$B$216,J220=[12]Datos!$B$220),[12]Datos!$E$212,IF(AND(I220=[12]Datos!$B$216,J220=[12]Datos!$B$221),[12]Datos!$F$212,"-")))))))))))))))</f>
        <v>MODERADA 15</v>
      </c>
      <c r="L220" s="11" t="s">
        <v>311</v>
      </c>
      <c r="M220" s="37" t="s">
        <v>81</v>
      </c>
      <c r="N220" s="13" t="s">
        <v>48</v>
      </c>
      <c r="O220" s="13" t="s">
        <v>49</v>
      </c>
      <c r="P220" s="13" t="s">
        <v>50</v>
      </c>
      <c r="Q220" s="13" t="s">
        <v>51</v>
      </c>
      <c r="R220" s="13" t="s">
        <v>48</v>
      </c>
      <c r="S220" s="13" t="s">
        <v>51</v>
      </c>
      <c r="T220" s="13" t="s">
        <v>52</v>
      </c>
      <c r="U220" s="40">
        <f>((IF(N220=[12]Datos!$B$233,15,0))/100)+((IF(O220=[12]Datos!$B$229,5,0))/100)+((IF(P220=[12]Datos!$B$233,15,0))/100)+((IF(Q220=[12]Datos!$B$231,10,0))/100)+((IF(R220=[12]Datos!$B$233,15,0))/100)+((IF(S220=[12]Datos!$B$231,10,0))/100)+((IF(T220=[12]Datos!$B$235,30,0))/100)</f>
        <v>0.85000000000000009</v>
      </c>
      <c r="V220" s="130">
        <f>IF(ISERROR(((IF(M220=[12]Datos!$B$224,U220,0))+(IF(M221=[12]Datos!$B$224,U221,0))+(IF(M222=[12]Datos!$B$224,U222,0))+(IF(M223=[12]Datos!$B$224,U223,0))+(IF(M224=[12]Datos!$B$224,U224,0))+(IF(M225=[12]Datos!$B$224,U225,0)))/((IF(M220=[12]Datos!$B$224,1,0))+(IF(M221=[12]Datos!$B$224,1,0))+(IF(M222=[12]Datos!$B$224,1,0))+(IF(M223=[12]Datos!$B$224,1,0))+(IF(M224=[12]Datos!$B$224,1,0))+(IF(M225=[12]Datos!$B$224,1,0)))),0,(((IF(M220=[12]Datos!$B$224,U220,0))+(IF(M221=[12]Datos!$B$224,U221,0))+(IF(M222=[12]Datos!$B$224,U222,0))+(IF(M223=[12]Datos!$B$224,U223,0))+(IF(M224=[12]Datos!$B$224,U224,0))+(IF(M225=[12]Datos!$B$224,U225,0)))/((IF(M220=[12]Datos!$B$224,1,0))+(IF(M221=[12]Datos!$B$224,1,0))+(IF(M222=[12]Datos!$B$224,1,0))+(IF(M223=[12]Datos!$B$224,1,0))+(IF(M224=[12]Datos!$B$224,1,0))+(IF(M225=[12]Datos!$B$224,1,0)))))</f>
        <v>0.85000000000000009</v>
      </c>
      <c r="W220" s="127" t="str">
        <f>IF(I220="","-",(IF(V220&gt;0,(IF(I220=[12]Datos!$B$212,[12]Datos!$B$212,IF(AND(I220=[12]Datos!$B$213,V220&gt;0.49),[12]Datos!$B$212,IF(AND(I220=[12]Datos!$B$214,V220&gt;0.74),[12]Datos!$B$212,IF(AND(I220=[12]Datos!$B$214,V220&lt;0.75,V220&gt;0.49),[12]Datos!$B$213,IF(AND(I220=[12]Datos!$B$215,V220&gt;0.74),[12]Datos!$B$213,IF(AND(I220=[12]Datos!$B$215,V220&lt;0.75,V220&gt;0.49),[12]Datos!$B$214,IF(AND(I220=[12]Datos!$B$216,V220&gt;0.74),[12]Datos!$B$214,IF(AND(I220=[12]Datos!$B$216,V220&lt;0.75,V220&gt;0.49),[12]Datos!$B$215,I220))))))))),I220)))</f>
        <v>Rara vez - 1</v>
      </c>
      <c r="X220" s="130">
        <f>IF(ISERROR(((IF(M220=[12]Datos!$B$225,U220,0))+(IF(M221=[12]Datos!$B$225,U221,0))+(IF(M222=[12]Datos!$B$225,U222,0))+(IF(M223=[12]Datos!$B$225,U223,0))+(IF(M224=[12]Datos!$B$225,U224,0))+(IF(M225=[12]Datos!$B$225,U225,0))+(IF(M220=[12]Datos!$B$226,U220,0))+(IF(M221=[12]Datos!$B$226,U221,0))+(IF(M222=[12]Datos!$B$226,U222,0))+(IF(M223=[12]Datos!$B$226,U223,0))+(IF(M224=[12]Datos!$B$226,U224,0))+(IF(M225=[12]Datos!$B$226,U225,0)))/((IF(M220=[12]Datos!$B$225,1,0))+(IF(M221=[12]Datos!$B$225,1,0))+(IF(M222=[12]Datos!$B$225,1,0))+(IF(M223=[12]Datos!$B$225,1,0))+(IF(M224=[12]Datos!$B$225,1,0))+(IF(M225=[12]Datos!$B$225,1,0))+(IF(M220=[12]Datos!$B$226,1,0))+(IF(M221=[12]Datos!$B$226,1,0))+(IF(M222=[12]Datos!$B$226,1,0))+(IF(M223=[12]Datos!$B$226,1,0))+(IF(M224=[12]Datos!$B$226,1,0))+(IF(M225=[12]Datos!$B$226,1,0)))),0,((IF(M220=[12]Datos!$B$225,U220,0))+(IF(M221=[12]Datos!$B$225,U221,0))+(IF(M222=[12]Datos!$B$225,U222,0))+(IF(M223=[12]Datos!$B$225,U223,0))+(IF(M224=[12]Datos!$B$225,U224,0))+(IF(M225=[12]Datos!$B$225,U225,0))+(IF(M220=[12]Datos!$B$226,U220,0))+(IF(M221=[12]Datos!$B$226,U221,0))+(IF(M222=[12]Datos!$B$226,U222,0))+(IF(M223=[12]Datos!$B$226,U223,0))+(IF(M224=[12]Datos!$B$226,U224,0))+(IF(M225=[12]Datos!$B$226,U225,0)))/((IF(M220=[12]Datos!$B$225,1,0))+(IF(M221=[12]Datos!$B$225,1,0))+(IF(M222=[12]Datos!$B$225,1,0))+(IF(M223=[12]Datos!$B$225,1,0))+(IF(M224=[12]Datos!$B$225,1,0))+(IF(M225=[12]Datos!$B$225,1,0))+(IF(M220=[12]Datos!$B$226,1,0))+(IF(M221=[12]Datos!$B$226,1,0))+(IF(M222=[12]Datos!$B$226,1,0))+(IF(M223=[12]Datos!$B$226,1,0))+(IF(M224=[12]Datos!$B$226,1,0))+(IF(M225=[12]Datos!$B$226,1,0))))</f>
        <v>0.85000000000000009</v>
      </c>
      <c r="Y220" s="127" t="str">
        <f>IF(J220="","-",(IF(X220&gt;0,(IF(J220=[12]Datos!$B$219,[12]Datos!$B$219,IF(AND(J220=[12]Datos!$B$220,X220&gt;0.49),[12]Datos!$B$219,IF(AND(J220=[12]Datos!$B$221,X220&gt;0.74),[12]Datos!$B$219,IF(AND(J220=[12]Datos!$B$221,X220&lt;0.75,X220&gt;0.49),[12]Datos!$B$220,IF(AND(J220=[12]Datos!$B$222,X220&gt;0.74),[12]Datos!$B$220,IF(AND(J220=[12]Datos!$B$222,X220&lt;0.75,X220&gt;0.49),[12]Datos!$B$221,IF(AND(J220=[12]Datos!$B$223,X220&gt;0.74),[12]Datos!$B$221,IF(AND(J220=[12]Datos!$B$223,X220&lt;0.75,X220&gt;0.49),[12]Datos!$B$222,J220))))))))),J220)))</f>
        <v>Moderado - 5</v>
      </c>
      <c r="Z220" s="133" t="str">
        <f>IF(AND(W220=[12]Datos!$B$212,Y220=[12]Datos!$B$219),[12]Datos!$D$216,IF(AND(W220=[12]Datos!$B$212,Y220=[12]Datos!$B$220),[12]Datos!$E$216,IF(AND(W220=[12]Datos!$B$212,Y220=[12]Datos!$B$221),[12]Datos!$F$216,IF(AND(W220=[12]Datos!$B$213,Y220=[12]Datos!$B$219),[12]Datos!$D$215,IF(AND(W220=[12]Datos!$B$213,Y220=[12]Datos!$B$220),[12]Datos!$E$215,IF(AND(W220=[12]Datos!$B$213,Y220=[12]Datos!$B$221),[12]Datos!$F$215,IF(AND(W220=[12]Datos!$B$214,Y220=[12]Datos!$B$219),[12]Datos!$D$214,IF(AND(W220=[12]Datos!$B$214,Y220=[12]Datos!$B$220),[12]Datos!$E$214,IF(AND(W220=[12]Datos!$B$214,Y220=[12]Datos!$B$221),[12]Datos!$F$214,IF(AND(W220=[12]Datos!$B$215,Y220=[12]Datos!$B$219),[12]Datos!$D$213,IF(AND(W220=[12]Datos!$B$215,Y220=[12]Datos!$B$220),[12]Datos!$E$213,IF(AND(W220=[12]Datos!$B$215,Y220=[12]Datos!$B$221),[12]Datos!$F$213,IF(AND(W220=[12]Datos!$B$216,Y220=[12]Datos!$B$219),[12]Datos!$D$212,IF(AND(W220=[12]Datos!$B$216,Y220=[12]Datos!$B$220),[12]Datos!$E$212,IF(AND(W220=[12]Datos!$B$216,Y220=[12]Datos!$B$221),[12]Datos!$F$212,"-")))))))))))))))</f>
        <v>BAJA 5</v>
      </c>
      <c r="AA220" s="11"/>
      <c r="AB220" s="11"/>
      <c r="AC220" s="11"/>
      <c r="AD220" s="11"/>
      <c r="AE220" s="11"/>
      <c r="AF220" s="11"/>
      <c r="AG220" s="16"/>
    </row>
    <row r="221" spans="1:33" x14ac:dyDescent="0.25">
      <c r="A221" s="152"/>
      <c r="B221" s="128"/>
      <c r="C221" s="155"/>
      <c r="D221" s="136"/>
      <c r="E221" s="136"/>
      <c r="F221" s="136"/>
      <c r="G221" s="158"/>
      <c r="H221" s="35"/>
      <c r="I221" s="149"/>
      <c r="J221" s="149"/>
      <c r="K221" s="134"/>
      <c r="L221" s="18" t="s">
        <v>312</v>
      </c>
      <c r="M221" s="38" t="s">
        <v>47</v>
      </c>
      <c r="N221" s="20" t="s">
        <v>48</v>
      </c>
      <c r="O221" s="20" t="s">
        <v>49</v>
      </c>
      <c r="P221" s="20" t="s">
        <v>50</v>
      </c>
      <c r="Q221" s="20" t="s">
        <v>51</v>
      </c>
      <c r="R221" s="20" t="s">
        <v>48</v>
      </c>
      <c r="S221" s="20" t="s">
        <v>51</v>
      </c>
      <c r="T221" s="20" t="s">
        <v>52</v>
      </c>
      <c r="U221" s="41">
        <f>((IF(N221=[12]Datos!$B$233,15,0))/100)+((IF(O221=[12]Datos!$B$229,5,0))/100)+((IF(P221=[12]Datos!$B$233,15,0))/100)+((IF(Q221=[12]Datos!$B$231,10,0))/100)+((IF(R221=[12]Datos!$B$233,15,0))/100)+((IF(S221=[12]Datos!$B$231,10,0))/100)+((IF(T221=[12]Datos!$B$235,30,0))/100)</f>
        <v>0.85000000000000009</v>
      </c>
      <c r="V221" s="131"/>
      <c r="W221" s="128"/>
      <c r="X221" s="131"/>
      <c r="Y221" s="128"/>
      <c r="Z221" s="134"/>
      <c r="AA221" s="18"/>
      <c r="AB221" s="18"/>
      <c r="AC221" s="18"/>
      <c r="AD221" s="18"/>
      <c r="AE221" s="18"/>
      <c r="AF221" s="18"/>
      <c r="AG221" s="23"/>
    </row>
    <row r="222" spans="1:33" x14ac:dyDescent="0.25">
      <c r="A222" s="152"/>
      <c r="B222" s="128"/>
      <c r="C222" s="155"/>
      <c r="D222" s="136"/>
      <c r="E222" s="136"/>
      <c r="F222" s="136"/>
      <c r="G222" s="158"/>
      <c r="H222" s="35"/>
      <c r="I222" s="149"/>
      <c r="J222" s="149"/>
      <c r="K222" s="134"/>
      <c r="L222" s="18"/>
      <c r="M222" s="38"/>
      <c r="N222" s="20"/>
      <c r="O222" s="20"/>
      <c r="P222" s="20"/>
      <c r="Q222" s="20"/>
      <c r="R222" s="20"/>
      <c r="S222" s="20"/>
      <c r="T222" s="20"/>
      <c r="U222" s="41">
        <f>((IF(N222=[12]Datos!$B$233,15,0))/100)+((IF(O222=[12]Datos!$B$229,5,0))/100)+((IF(P222=[12]Datos!$B$233,15,0))/100)+((IF(Q222=[12]Datos!$B$231,10,0))/100)+((IF(R222=[12]Datos!$B$233,15,0))/100)+((IF(S222=[12]Datos!$B$231,10,0))/100)+((IF(T222=[12]Datos!$B$235,30,0))/100)</f>
        <v>0</v>
      </c>
      <c r="V222" s="131"/>
      <c r="W222" s="128"/>
      <c r="X222" s="131"/>
      <c r="Y222" s="128"/>
      <c r="Z222" s="134"/>
      <c r="AA222" s="18"/>
      <c r="AB222" s="18"/>
      <c r="AC222" s="18"/>
      <c r="AD222" s="79"/>
      <c r="AE222" s="18"/>
      <c r="AF222" s="79"/>
      <c r="AG222" s="81"/>
    </row>
    <row r="223" spans="1:33" x14ac:dyDescent="0.25">
      <c r="A223" s="152"/>
      <c r="B223" s="128"/>
      <c r="C223" s="155"/>
      <c r="D223" s="136"/>
      <c r="E223" s="136"/>
      <c r="F223" s="136"/>
      <c r="G223" s="158"/>
      <c r="H223" s="35"/>
      <c r="I223" s="149"/>
      <c r="J223" s="149"/>
      <c r="K223" s="134"/>
      <c r="L223" s="18"/>
      <c r="M223" s="38"/>
      <c r="N223" s="20"/>
      <c r="O223" s="20"/>
      <c r="P223" s="20"/>
      <c r="Q223" s="20"/>
      <c r="R223" s="20"/>
      <c r="S223" s="20"/>
      <c r="T223" s="20"/>
      <c r="U223" s="41">
        <f>((IF(N223=[12]Datos!$B$233,15,0))/100)+((IF(O223=[12]Datos!$B$229,5,0))/100)+((IF(P223=[12]Datos!$B$233,15,0))/100)+((IF(Q223=[12]Datos!$B$231,10,0))/100)+((IF(R223=[12]Datos!$B$233,15,0))/100)+((IF(S223=[12]Datos!$B$231,10,0))/100)+((IF(T223=[12]Datos!$B$235,30,0))/100)</f>
        <v>0</v>
      </c>
      <c r="V223" s="131"/>
      <c r="W223" s="128"/>
      <c r="X223" s="131"/>
      <c r="Y223" s="128"/>
      <c r="Z223" s="134"/>
      <c r="AA223" s="18"/>
      <c r="AB223" s="18"/>
      <c r="AC223" s="18"/>
      <c r="AD223" s="18"/>
      <c r="AE223" s="18"/>
      <c r="AF223" s="18"/>
      <c r="AG223" s="23"/>
    </row>
    <row r="224" spans="1:33" x14ac:dyDescent="0.25">
      <c r="A224" s="152"/>
      <c r="B224" s="128"/>
      <c r="C224" s="155"/>
      <c r="D224" s="136"/>
      <c r="E224" s="136"/>
      <c r="F224" s="136"/>
      <c r="G224" s="158"/>
      <c r="H224" s="35"/>
      <c r="I224" s="149"/>
      <c r="J224" s="149"/>
      <c r="K224" s="134"/>
      <c r="L224" s="18"/>
      <c r="M224" s="38"/>
      <c r="N224" s="20"/>
      <c r="O224" s="20"/>
      <c r="P224" s="20"/>
      <c r="Q224" s="20"/>
      <c r="R224" s="20"/>
      <c r="S224" s="20"/>
      <c r="T224" s="20"/>
      <c r="U224" s="41">
        <f>((IF(N224=[12]Datos!$B$233,15,0))/100)+((IF(O224=[12]Datos!$B$229,5,0))/100)+((IF(P224=[12]Datos!$B$233,15,0))/100)+((IF(Q224=[12]Datos!$B$231,10,0))/100)+((IF(R224=[12]Datos!$B$233,15,0))/100)+((IF(S224=[12]Datos!$B$231,10,0))/100)+((IF(T224=[12]Datos!$B$235,30,0))/100)</f>
        <v>0</v>
      </c>
      <c r="V224" s="131"/>
      <c r="W224" s="128"/>
      <c r="X224" s="131"/>
      <c r="Y224" s="128"/>
      <c r="Z224" s="134"/>
      <c r="AA224" s="18"/>
      <c r="AB224" s="18"/>
      <c r="AC224" s="18"/>
      <c r="AD224" s="18"/>
      <c r="AE224" s="18"/>
      <c r="AF224" s="18"/>
      <c r="AG224" s="23"/>
    </row>
    <row r="225" spans="1:33" ht="15.75" thickBot="1" x14ac:dyDescent="0.3">
      <c r="A225" s="153"/>
      <c r="B225" s="129"/>
      <c r="C225" s="156"/>
      <c r="D225" s="137"/>
      <c r="E225" s="137"/>
      <c r="F225" s="137"/>
      <c r="G225" s="159"/>
      <c r="H225" s="36"/>
      <c r="I225" s="150"/>
      <c r="J225" s="150"/>
      <c r="K225" s="135"/>
      <c r="L225" s="26"/>
      <c r="M225" s="39"/>
      <c r="N225" s="28"/>
      <c r="O225" s="28"/>
      <c r="P225" s="28"/>
      <c r="Q225" s="28"/>
      <c r="R225" s="28"/>
      <c r="S225" s="28"/>
      <c r="T225" s="28"/>
      <c r="U225" s="42">
        <f>((IF(N225=[12]Datos!$B$233,15,0))/100)+((IF(O225=[12]Datos!$B$229,5,0))/100)+((IF(P225=[12]Datos!$B$233,15,0))/100)+((IF(Q225=[12]Datos!$B$231,10,0))/100)+((IF(R225=[12]Datos!$B$233,15,0))/100)+((IF(S225=[12]Datos!$B$231,10,0))/100)+((IF(T225=[12]Datos!$B$235,30,0))/100)</f>
        <v>0</v>
      </c>
      <c r="V225" s="132"/>
      <c r="W225" s="129"/>
      <c r="X225" s="132"/>
      <c r="Y225" s="129"/>
      <c r="Z225" s="135"/>
      <c r="AA225" s="26"/>
      <c r="AB225" s="26"/>
      <c r="AC225" s="26"/>
      <c r="AD225" s="26"/>
      <c r="AE225" s="26"/>
      <c r="AF225" s="26"/>
      <c r="AG225" s="30"/>
    </row>
    <row r="226" spans="1:33" ht="45" x14ac:dyDescent="0.25">
      <c r="A226" s="151" t="s">
        <v>535</v>
      </c>
      <c r="B226" s="127"/>
      <c r="C226" s="154" t="s">
        <v>441</v>
      </c>
      <c r="D226" s="147" t="s">
        <v>313</v>
      </c>
      <c r="E226" s="147"/>
      <c r="F226" s="147" t="s">
        <v>314</v>
      </c>
      <c r="G226" s="147" t="s">
        <v>315</v>
      </c>
      <c r="H226" s="56" t="s">
        <v>316</v>
      </c>
      <c r="I226" s="148" t="s">
        <v>45</v>
      </c>
      <c r="J226" s="148" t="s">
        <v>97</v>
      </c>
      <c r="K226" s="133" t="str">
        <f>IF(AND(I226=[12]Datos!$B$212,J226=[12]Datos!$B$219),[12]Datos!$D$216,IF(AND(I226=[12]Datos!$B$212,J226=[12]Datos!$B$220),[12]Datos!$E$216,IF(AND(I226=[12]Datos!$B$212,J226=[12]Datos!$B$221),[12]Datos!$F$216,IF(AND(I226=[12]Datos!$B$213,J226=[12]Datos!$B$219),[12]Datos!$D$215,IF(AND(I226=[12]Datos!$B$213,J226=[12]Datos!$B$220),[12]Datos!$E$215,IF(AND(I226=[12]Datos!$B$213,J226=[12]Datos!$B$221),[12]Datos!$F$215,IF(AND(I226=[12]Datos!$B$214,J226=[12]Datos!$B$219),[12]Datos!$D$214,IF(AND(I226=[12]Datos!$B$214,J226=[12]Datos!$B$220),[12]Datos!$E$214,IF(AND(I226=[12]Datos!$B$214,J226=[12]Datos!$B$221),[12]Datos!$F$214,IF(AND(I226=[12]Datos!$B$215,J226=[12]Datos!$B$219),[12]Datos!$D$213,IF(AND(I226=[12]Datos!$B$215,J226=[12]Datos!$B$220),[12]Datos!$E$213,IF(AND(I226=[12]Datos!$B$215,J226=[12]Datos!$B$221),[12]Datos!$F$213,IF(AND(I226=[12]Datos!$B$216,J226=[12]Datos!$B$219),[12]Datos!$D$212,IF(AND(I226=[12]Datos!$B$216,J226=[12]Datos!$B$220),[12]Datos!$E$212,IF(AND(I226=[12]Datos!$B$216,J226=[12]Datos!$B$221),[12]Datos!$F$212,"-")))))))))))))))</f>
        <v>MODERADA 15</v>
      </c>
      <c r="L226" s="15" t="s">
        <v>311</v>
      </c>
      <c r="M226" s="37" t="s">
        <v>81</v>
      </c>
      <c r="N226" s="13" t="s">
        <v>48</v>
      </c>
      <c r="O226" s="13" t="s">
        <v>49</v>
      </c>
      <c r="P226" s="13" t="s">
        <v>50</v>
      </c>
      <c r="Q226" s="13" t="s">
        <v>51</v>
      </c>
      <c r="R226" s="13" t="s">
        <v>48</v>
      </c>
      <c r="S226" s="13" t="s">
        <v>51</v>
      </c>
      <c r="T226" s="13" t="s">
        <v>52</v>
      </c>
      <c r="U226" s="40">
        <f>((IF(N226=[12]Datos!$B$233,15,0))/100)+((IF(O226=[12]Datos!$B$229,5,0))/100)+((IF(P226=[12]Datos!$B$233,15,0))/100)+((IF(Q226=[12]Datos!$B$231,10,0))/100)+((IF(R226=[12]Datos!$B$233,15,0))/100)+((IF(S226=[12]Datos!$B$231,10,0))/100)+((IF(T226=[12]Datos!$B$235,30,0))/100)</f>
        <v>0.85000000000000009</v>
      </c>
      <c r="V226" s="130">
        <f>IF(ISERROR(((IF(M226=[12]Datos!$B$224,U226,0))+(IF(M227=[12]Datos!$B$224,U227,0))+(IF(M228=[12]Datos!$B$224,U228,0))+(IF(M229=[12]Datos!$B$224,U229,0))+(IF(M230=[12]Datos!$B$224,U230,0))+(IF(M231=[12]Datos!$B$224,U231,0)))/((IF(M226=[12]Datos!$B$224,1,0))+(IF(M227=[12]Datos!$B$224,1,0))+(IF(M228=[12]Datos!$B$224,1,0))+(IF(M229=[12]Datos!$B$224,1,0))+(IF(M230=[12]Datos!$B$224,1,0))+(IF(M231=[12]Datos!$B$224,1,0)))),0,(((IF(M226=[12]Datos!$B$224,U226,0))+(IF(M227=[12]Datos!$B$224,U227,0))+(IF(M228=[12]Datos!$B$224,U228,0))+(IF(M229=[12]Datos!$B$224,U229,0))+(IF(M230=[12]Datos!$B$224,U230,0))+(IF(M231=[12]Datos!$B$224,U231,0)))/((IF(M226=[12]Datos!$B$224,1,0))+(IF(M227=[12]Datos!$B$224,1,0))+(IF(M228=[12]Datos!$B$224,1,0))+(IF(M229=[12]Datos!$B$224,1,0))+(IF(M230=[12]Datos!$B$224,1,0))+(IF(M231=[12]Datos!$B$224,1,0)))))</f>
        <v>0.85000000000000009</v>
      </c>
      <c r="W226" s="127" t="str">
        <f>IF(I226="","-",(IF(V226&gt;0,(IF(I226=[12]Datos!$B$212,[12]Datos!$B$212,IF(AND(I226=[12]Datos!$B$213,V226&gt;0.49),[12]Datos!$B$212,IF(AND(I226=[12]Datos!$B$214,V226&gt;0.74),[12]Datos!$B$212,IF(AND(I226=[12]Datos!$B$214,V226&lt;0.75,V226&gt;0.49),[12]Datos!$B$213,IF(AND(I226=[12]Datos!$B$215,V226&gt;0.74),[12]Datos!$B$213,IF(AND(I226=[12]Datos!$B$215,V226&lt;0.75,V226&gt;0.49),[12]Datos!$B$214,IF(AND(I226=[12]Datos!$B$216,V226&gt;0.74),[12]Datos!$B$214,IF(AND(I226=[12]Datos!$B$216,V226&lt;0.75,V226&gt;0.49),[12]Datos!$B$215,I226))))))))),I226)))</f>
        <v>Rara vez - 1</v>
      </c>
      <c r="X226" s="130">
        <f>IF(ISERROR(((IF(M226=[12]Datos!$B$225,U226,0))+(IF(M227=[12]Datos!$B$225,U227,0))+(IF(M228=[12]Datos!$B$225,U228,0))+(IF(M229=[12]Datos!$B$225,U229,0))+(IF(M230=[12]Datos!$B$225,U230,0))+(IF(M231=[12]Datos!$B$225,U231,0))+(IF(M226=[12]Datos!$B$226,U226,0))+(IF(M227=[12]Datos!$B$226,U227,0))+(IF(M228=[12]Datos!$B$226,U228,0))+(IF(M229=[12]Datos!$B$226,U229,0))+(IF(M230=[12]Datos!$B$226,U230,0))+(IF(M231=[12]Datos!$B$226,U231,0)))/((IF(M226=[12]Datos!$B$225,1,0))+(IF(M227=[12]Datos!$B$225,1,0))+(IF(M228=[12]Datos!$B$225,1,0))+(IF(M229=[12]Datos!$B$225,1,0))+(IF(M230=[12]Datos!$B$225,1,0))+(IF(M231=[12]Datos!$B$225,1,0))+(IF(M226=[12]Datos!$B$226,1,0))+(IF(M227=[12]Datos!$B$226,1,0))+(IF(M228=[12]Datos!$B$226,1,0))+(IF(M229=[12]Datos!$B$226,1,0))+(IF(M230=[12]Datos!$B$226,1,0))+(IF(M231=[12]Datos!$B$226,1,0)))),0,((IF(M226=[12]Datos!$B$225,U226,0))+(IF(M227=[12]Datos!$B$225,U227,0))+(IF(M228=[12]Datos!$B$225,U228,0))+(IF(M229=[12]Datos!$B$225,U229,0))+(IF(M230=[12]Datos!$B$225,U230,0))+(IF(M231=[12]Datos!$B$225,U231,0))+(IF(M226=[12]Datos!$B$226,U226,0))+(IF(M227=[12]Datos!$B$226,U227,0))+(IF(M228=[12]Datos!$B$226,U228,0))+(IF(M229=[12]Datos!$B$226,U229,0))+(IF(M230=[12]Datos!$B$226,U230,0))+(IF(M231=[12]Datos!$B$226,U231,0)))/((IF(M226=[12]Datos!$B$225,1,0))+(IF(M227=[12]Datos!$B$225,1,0))+(IF(M228=[12]Datos!$B$225,1,0))+(IF(M229=[12]Datos!$B$225,1,0))+(IF(M230=[12]Datos!$B$225,1,0))+(IF(M231=[12]Datos!$B$225,1,0))+(IF(M226=[12]Datos!$B$226,1,0))+(IF(M227=[12]Datos!$B$226,1,0))+(IF(M228=[12]Datos!$B$226,1,0))+(IF(M229=[12]Datos!$B$226,1,0))+(IF(M230=[12]Datos!$B$226,1,0))+(IF(M231=[12]Datos!$B$226,1,0))))</f>
        <v>0.85000000000000009</v>
      </c>
      <c r="Y226" s="127" t="str">
        <f>IF(J226="","-",(IF(X226&gt;0,(IF(J226=[12]Datos!$B$219,[12]Datos!$B$219,IF(AND(J226=[12]Datos!$B$220,X226&gt;0.49),[12]Datos!$B$219,IF(AND(J226=[12]Datos!$B$221,X226&gt;0.74),[12]Datos!$B$219,IF(AND(J226=[12]Datos!$B$221,X226&lt;0.75,X226&gt;0.49),[12]Datos!$B$220,IF(AND(J226=[12]Datos!$B$222,X226&gt;0.74),[12]Datos!$B$220,IF(AND(J226=[12]Datos!$B$222,X226&lt;0.75,X226&gt;0.49),[12]Datos!$B$221,IF(AND(J226=[12]Datos!$B$223,X226&gt;0.74),[12]Datos!$B$221,IF(AND(J226=[12]Datos!$B$223,X226&lt;0.75,X226&gt;0.49),[12]Datos!$B$222,J226))))))))),J226)))</f>
        <v>Moderado - 5</v>
      </c>
      <c r="Z226" s="133" t="str">
        <f>IF(AND(W226=[12]Datos!$B$212,Y226=[12]Datos!$B$219),[12]Datos!$D$216,IF(AND(W226=[12]Datos!$B$212,Y226=[12]Datos!$B$220),[12]Datos!$E$216,IF(AND(W226=[12]Datos!$B$212,Y226=[12]Datos!$B$221),[12]Datos!$F$216,IF(AND(W226=[12]Datos!$B$213,Y226=[12]Datos!$B$219),[12]Datos!$D$215,IF(AND(W226=[12]Datos!$B$213,Y226=[12]Datos!$B$220),[12]Datos!$E$215,IF(AND(W226=[12]Datos!$B$213,Y226=[12]Datos!$B$221),[12]Datos!$F$215,IF(AND(W226=[12]Datos!$B$214,Y226=[12]Datos!$B$219),[12]Datos!$D$214,IF(AND(W226=[12]Datos!$B$214,Y226=[12]Datos!$B$220),[12]Datos!$E$214,IF(AND(W226=[12]Datos!$B$214,Y226=[12]Datos!$B$221),[12]Datos!$F$214,IF(AND(W226=[12]Datos!$B$215,Y226=[12]Datos!$B$219),[12]Datos!$D$213,IF(AND(W226=[12]Datos!$B$215,Y226=[12]Datos!$B$220),[12]Datos!$E$213,IF(AND(W226=[12]Datos!$B$215,Y226=[12]Datos!$B$221),[12]Datos!$F$213,IF(AND(W226=[12]Datos!$B$216,Y226=[12]Datos!$B$219),[12]Datos!$D$212,IF(AND(W226=[12]Datos!$B$216,Y226=[12]Datos!$B$220),[12]Datos!$E$212,IF(AND(W226=[12]Datos!$B$216,Y226=[12]Datos!$B$221),[12]Datos!$F$212,"-")))))))))))))))</f>
        <v>BAJA 5</v>
      </c>
      <c r="AA226" s="11"/>
      <c r="AB226" s="11"/>
      <c r="AC226" s="11"/>
      <c r="AD226" s="11"/>
      <c r="AE226" s="11"/>
      <c r="AF226" s="11"/>
      <c r="AG226" s="16"/>
    </row>
    <row r="227" spans="1:33" x14ac:dyDescent="0.25">
      <c r="A227" s="152"/>
      <c r="B227" s="128"/>
      <c r="C227" s="155"/>
      <c r="D227" s="136"/>
      <c r="E227" s="136"/>
      <c r="F227" s="136"/>
      <c r="G227" s="136"/>
      <c r="H227" s="35"/>
      <c r="I227" s="149"/>
      <c r="J227" s="149"/>
      <c r="K227" s="134"/>
      <c r="L227" s="22" t="s">
        <v>312</v>
      </c>
      <c r="M227" s="38" t="s">
        <v>47</v>
      </c>
      <c r="N227" s="20" t="s">
        <v>48</v>
      </c>
      <c r="O227" s="20" t="s">
        <v>49</v>
      </c>
      <c r="P227" s="20" t="s">
        <v>50</v>
      </c>
      <c r="Q227" s="20" t="s">
        <v>51</v>
      </c>
      <c r="R227" s="20" t="s">
        <v>48</v>
      </c>
      <c r="S227" s="20" t="s">
        <v>51</v>
      </c>
      <c r="T227" s="20" t="s">
        <v>52</v>
      </c>
      <c r="U227" s="41">
        <f>((IF(N227=[12]Datos!$B$233,15,0))/100)+((IF(O227=[12]Datos!$B$229,5,0))/100)+((IF(P227=[12]Datos!$B$233,15,0))/100)+((IF(Q227=[12]Datos!$B$231,10,0))/100)+((IF(R227=[12]Datos!$B$233,15,0))/100)+((IF(S227=[12]Datos!$B$231,10,0))/100)+((IF(T227=[12]Datos!$B$235,30,0))/100)</f>
        <v>0.85000000000000009</v>
      </c>
      <c r="V227" s="131"/>
      <c r="W227" s="128"/>
      <c r="X227" s="131"/>
      <c r="Y227" s="128"/>
      <c r="Z227" s="134"/>
      <c r="AA227" s="18"/>
      <c r="AB227" s="18"/>
      <c r="AC227" s="18"/>
      <c r="AD227" s="18"/>
      <c r="AE227" s="18"/>
      <c r="AF227" s="18"/>
      <c r="AG227" s="23"/>
    </row>
    <row r="228" spans="1:33" x14ac:dyDescent="0.25">
      <c r="A228" s="152"/>
      <c r="B228" s="128"/>
      <c r="C228" s="155"/>
      <c r="D228" s="136"/>
      <c r="E228" s="136"/>
      <c r="F228" s="136"/>
      <c r="G228" s="136"/>
      <c r="H228" s="35"/>
      <c r="I228" s="149"/>
      <c r="J228" s="149"/>
      <c r="K228" s="134"/>
      <c r="L228" s="22"/>
      <c r="M228" s="38"/>
      <c r="N228" s="20"/>
      <c r="O228" s="20"/>
      <c r="P228" s="20"/>
      <c r="Q228" s="20"/>
      <c r="R228" s="20"/>
      <c r="S228" s="20"/>
      <c r="T228" s="20"/>
      <c r="U228" s="41">
        <f>((IF(N228=[12]Datos!$B$233,15,0))/100)+((IF(O228=[12]Datos!$B$229,5,0))/100)+((IF(P228=[12]Datos!$B$233,15,0))/100)+((IF(Q228=[12]Datos!$B$231,10,0))/100)+((IF(R228=[12]Datos!$B$233,15,0))/100)+((IF(S228=[12]Datos!$B$231,10,0))/100)+((IF(T228=[12]Datos!$B$235,30,0))/100)</f>
        <v>0</v>
      </c>
      <c r="V228" s="131"/>
      <c r="W228" s="128"/>
      <c r="X228" s="131"/>
      <c r="Y228" s="128"/>
      <c r="Z228" s="134"/>
      <c r="AA228" s="18"/>
      <c r="AB228" s="18"/>
      <c r="AC228" s="18"/>
      <c r="AD228" s="79"/>
      <c r="AE228" s="18"/>
      <c r="AF228" s="79"/>
      <c r="AG228" s="81"/>
    </row>
    <row r="229" spans="1:33" x14ac:dyDescent="0.25">
      <c r="A229" s="152"/>
      <c r="B229" s="128"/>
      <c r="C229" s="155"/>
      <c r="D229" s="136"/>
      <c r="E229" s="136"/>
      <c r="F229" s="136"/>
      <c r="G229" s="136"/>
      <c r="H229" s="35"/>
      <c r="I229" s="149"/>
      <c r="J229" s="149"/>
      <c r="K229" s="134"/>
      <c r="L229" s="22"/>
      <c r="M229" s="38"/>
      <c r="N229" s="20"/>
      <c r="O229" s="20"/>
      <c r="P229" s="20"/>
      <c r="Q229" s="20"/>
      <c r="R229" s="20"/>
      <c r="S229" s="20"/>
      <c r="T229" s="20"/>
      <c r="U229" s="41">
        <f>((IF(N229=[12]Datos!$B$233,15,0))/100)+((IF(O229=[12]Datos!$B$229,5,0))/100)+((IF(P229=[12]Datos!$B$233,15,0))/100)+((IF(Q229=[12]Datos!$B$231,10,0))/100)+((IF(R229=[12]Datos!$B$233,15,0))/100)+((IF(S229=[12]Datos!$B$231,10,0))/100)+((IF(T229=[12]Datos!$B$235,30,0))/100)</f>
        <v>0</v>
      </c>
      <c r="V229" s="131"/>
      <c r="W229" s="128"/>
      <c r="X229" s="131"/>
      <c r="Y229" s="128"/>
      <c r="Z229" s="134"/>
      <c r="AA229" s="18"/>
      <c r="AB229" s="18"/>
      <c r="AC229" s="18"/>
      <c r="AD229" s="18"/>
      <c r="AE229" s="18"/>
      <c r="AF229" s="18"/>
      <c r="AG229" s="23"/>
    </row>
    <row r="230" spans="1:33" x14ac:dyDescent="0.25">
      <c r="A230" s="152"/>
      <c r="B230" s="128"/>
      <c r="C230" s="155"/>
      <c r="D230" s="136"/>
      <c r="E230" s="136"/>
      <c r="F230" s="136"/>
      <c r="G230" s="136"/>
      <c r="H230" s="35"/>
      <c r="I230" s="149"/>
      <c r="J230" s="149"/>
      <c r="K230" s="134"/>
      <c r="L230" s="22"/>
      <c r="M230" s="38"/>
      <c r="N230" s="20"/>
      <c r="O230" s="20"/>
      <c r="P230" s="20"/>
      <c r="Q230" s="20"/>
      <c r="R230" s="20"/>
      <c r="S230" s="20"/>
      <c r="T230" s="20"/>
      <c r="U230" s="41">
        <f>((IF(N230=[12]Datos!$B$233,15,0))/100)+((IF(O230=[12]Datos!$B$229,5,0))/100)+((IF(P230=[12]Datos!$B$233,15,0))/100)+((IF(Q230=[12]Datos!$B$231,10,0))/100)+((IF(R230=[12]Datos!$B$233,15,0))/100)+((IF(S230=[12]Datos!$B$231,10,0))/100)+((IF(T230=[12]Datos!$B$235,30,0))/100)</f>
        <v>0</v>
      </c>
      <c r="V230" s="131"/>
      <c r="W230" s="128"/>
      <c r="X230" s="131"/>
      <c r="Y230" s="128"/>
      <c r="Z230" s="134"/>
      <c r="AA230" s="18"/>
      <c r="AB230" s="18"/>
      <c r="AC230" s="18"/>
      <c r="AD230" s="18"/>
      <c r="AE230" s="18"/>
      <c r="AF230" s="18"/>
      <c r="AG230" s="23"/>
    </row>
    <row r="231" spans="1:33" ht="15.75" thickBot="1" x14ac:dyDescent="0.3">
      <c r="A231" s="153"/>
      <c r="B231" s="129"/>
      <c r="C231" s="156"/>
      <c r="D231" s="137"/>
      <c r="E231" s="137"/>
      <c r="F231" s="137"/>
      <c r="G231" s="137"/>
      <c r="H231" s="36"/>
      <c r="I231" s="150"/>
      <c r="J231" s="150"/>
      <c r="K231" s="135"/>
      <c r="L231" s="49"/>
      <c r="M231" s="39"/>
      <c r="N231" s="28"/>
      <c r="O231" s="28"/>
      <c r="P231" s="28"/>
      <c r="Q231" s="28"/>
      <c r="R231" s="28"/>
      <c r="S231" s="28"/>
      <c r="T231" s="28"/>
      <c r="U231" s="42">
        <f>((IF(N231=[12]Datos!$B$233,15,0))/100)+((IF(O231=[12]Datos!$B$229,5,0))/100)+((IF(P231=[12]Datos!$B$233,15,0))/100)+((IF(Q231=[12]Datos!$B$231,10,0))/100)+((IF(R231=[12]Datos!$B$233,15,0))/100)+((IF(S231=[12]Datos!$B$231,10,0))/100)+((IF(T231=[12]Datos!$B$235,30,0))/100)</f>
        <v>0</v>
      </c>
      <c r="V231" s="132"/>
      <c r="W231" s="129"/>
      <c r="X231" s="132"/>
      <c r="Y231" s="129"/>
      <c r="Z231" s="135"/>
      <c r="AA231" s="26"/>
      <c r="AB231" s="26"/>
      <c r="AC231" s="26"/>
      <c r="AD231" s="26"/>
      <c r="AE231" s="26"/>
      <c r="AF231" s="26"/>
      <c r="AG231" s="30"/>
    </row>
    <row r="232" spans="1:33" ht="35.25" customHeight="1" x14ac:dyDescent="0.25">
      <c r="A232" s="138" t="s">
        <v>317</v>
      </c>
      <c r="B232" s="139"/>
      <c r="C232" s="144" t="s">
        <v>442</v>
      </c>
      <c r="D232" s="147" t="s">
        <v>504</v>
      </c>
      <c r="E232" s="147"/>
      <c r="F232" s="147" t="s">
        <v>318</v>
      </c>
      <c r="G232" s="147" t="s">
        <v>319</v>
      </c>
      <c r="H232" s="43" t="s">
        <v>320</v>
      </c>
      <c r="I232" s="148" t="s">
        <v>120</v>
      </c>
      <c r="J232" s="148" t="s">
        <v>85</v>
      </c>
      <c r="K232" s="133" t="str">
        <f>IF(AND(I232=[13]Datos!$B$212,J232=[13]Datos!$B$219),[13]Datos!$D$216,IF(AND(I232=[13]Datos!$B$212,J232=[13]Datos!$B$220),[13]Datos!$E$216,IF(AND(I232=[13]Datos!$B$212,J232=[13]Datos!$B$221),[13]Datos!$F$216,IF(AND(I232=[13]Datos!$B$213,J232=[13]Datos!$B$219),[13]Datos!$D$215,IF(AND(I232=[13]Datos!$B$213,J232=[13]Datos!$B$220),[13]Datos!$E$215,IF(AND(I232=[13]Datos!$B$213,J232=[13]Datos!$B$221),[13]Datos!$F$215,IF(AND(I232=[13]Datos!$B$214,J232=[13]Datos!$B$219),[13]Datos!$D$214,IF(AND(I232=[13]Datos!$B$214,J232=[13]Datos!$B$220),[13]Datos!$E$214,IF(AND(I232=[13]Datos!$B$214,J232=[13]Datos!$B$221),[13]Datos!$F$214,IF(AND(I232=[13]Datos!$B$215,J232=[13]Datos!$B$219),[13]Datos!$D$213,IF(AND(I232=[13]Datos!$B$215,J232=[13]Datos!$B$220),[13]Datos!$E$213,IF(AND(I232=[13]Datos!$B$215,J232=[13]Datos!$B$221),[13]Datos!$F$213,IF(AND(I232=[13]Datos!$B$216,J232=[13]Datos!$B$219),[13]Datos!$D$212,IF(AND(I232=[13]Datos!$B$216,J232=[13]Datos!$B$220),[13]Datos!$E$212,IF(AND(I232=[13]Datos!$B$216,J232=[13]Datos!$B$221),[13]Datos!$F$212,"-")))))))))))))))</f>
        <v>MODERADA 20</v>
      </c>
      <c r="L232" s="11" t="s">
        <v>321</v>
      </c>
      <c r="M232" s="37" t="s">
        <v>47</v>
      </c>
      <c r="N232" s="13" t="s">
        <v>48</v>
      </c>
      <c r="O232" s="13" t="s">
        <v>49</v>
      </c>
      <c r="P232" s="13" t="s">
        <v>50</v>
      </c>
      <c r="Q232" s="13" t="s">
        <v>51</v>
      </c>
      <c r="R232" s="13" t="s">
        <v>48</v>
      </c>
      <c r="S232" s="13" t="s">
        <v>51</v>
      </c>
      <c r="T232" s="13" t="s">
        <v>52</v>
      </c>
      <c r="U232" s="40">
        <f>((IF(N232=[13]Datos!$B$233,15,0))/100)+((IF(O232=[13]Datos!$B$229,5,0))/100)+((IF(P232=[13]Datos!$B$233,15,0))/100)+((IF(Q232=[13]Datos!$B$231,10,0))/100)+((IF(R232=[13]Datos!$B$233,15,0))/100)+((IF(S232=[13]Datos!$B$231,10,0))/100)+((IF(T232=[13]Datos!$B$235,30,0))/100)</f>
        <v>0.85000000000000009</v>
      </c>
      <c r="V232" s="130">
        <f>IF(ISERROR(((IF(M232=[13]Datos!$B$224,U232,0))+(IF(M233=[13]Datos!$B$224,U233,0))+(IF(M234=[13]Datos!$B$224,U234,0))+(IF(M235=[13]Datos!$B$224,U235,0))+(IF(M236=[13]Datos!$B$224,U236,0))+(IF(M237=[13]Datos!$B$224,U237,0)))/((IF(M232=[13]Datos!$B$224,1,0))+(IF(M233=[13]Datos!$B$224,1,0))+(IF(M234=[13]Datos!$B$224,1,0))+(IF(M235=[13]Datos!$B$224,1,0))+(IF(M236=[13]Datos!$B$224,1,0))+(IF(M237=[13]Datos!$B$224,1,0)))),0,(((IF(M232=[13]Datos!$B$224,U232,0))+(IF(M233=[13]Datos!$B$224,U233,0))+(IF(M234=[13]Datos!$B$224,U234,0))+(IF(M235=[13]Datos!$B$224,U235,0))+(IF(M236=[13]Datos!$B$224,U236,0))+(IF(M237=[13]Datos!$B$224,U237,0)))/((IF(M232=[13]Datos!$B$224,1,0))+(IF(M233=[13]Datos!$B$224,1,0))+(IF(M234=[13]Datos!$B$224,1,0))+(IF(M235=[13]Datos!$B$224,1,0))+(IF(M236=[13]Datos!$B$224,1,0))+(IF(M237=[13]Datos!$B$224,1,0)))))</f>
        <v>0.6333333333333333</v>
      </c>
      <c r="W232" s="127" t="str">
        <f>IF(I232="","-",(IF(V232&gt;0,(IF(I232=[13]Datos!$B$212,[13]Datos!$B$212,IF(AND(I232=[13]Datos!$B$213,V232&gt;0.49),[13]Datos!$B$212,IF(AND(I232=[13]Datos!$B$214,V232&gt;0.74),[13]Datos!$B$212,IF(AND(I232=[13]Datos!$B$214,V232&lt;0.75,V232&gt;0.49),[13]Datos!$B$213,IF(AND(I232=[13]Datos!$B$215,V232&gt;0.74),[13]Datos!$B$213,IF(AND(I232=[13]Datos!$B$215,V232&lt;0.75,V232&gt;0.49),[13]Datos!$B$214,IF(AND(I232=[13]Datos!$B$216,V232&gt;0.74),[13]Datos!$B$214,IF(AND(I232=[13]Datos!$B$216,V232&lt;0.75,V232&gt;0.49),[13]Datos!$B$215,I232))))))))),I232)))</f>
        <v>Rara vez - 1</v>
      </c>
      <c r="X232" s="130">
        <f>IF(ISERROR(((IF(M232=[13]Datos!$B$225,U232,0))+(IF(M233=[13]Datos!$B$225,U233,0))+(IF(M234=[13]Datos!$B$225,U234,0))+(IF(M235=[13]Datos!$B$225,U235,0))+(IF(M236=[13]Datos!$B$225,U236,0))+(IF(M237=[13]Datos!$B$225,U237,0))+(IF(M232=[13]Datos!$B$226,U232,0))+(IF(M233=[13]Datos!$B$226,U233,0))+(IF(M234=[13]Datos!$B$226,U234,0))+(IF(M235=[13]Datos!$B$226,U235,0))+(IF(M236=[13]Datos!$B$226,U236,0))+(IF(M237=[13]Datos!$B$226,U237,0)))/((IF(M232=[13]Datos!$B$225,1,0))+(IF(M233=[13]Datos!$B$225,1,0))+(IF(M234=[13]Datos!$B$225,1,0))+(IF(M235=[13]Datos!$B$225,1,0))+(IF(M236=[13]Datos!$B$225,1,0))+(IF(M237=[13]Datos!$B$225,1,0))+(IF(M232=[13]Datos!$B$226,1,0))+(IF(M233=[13]Datos!$B$226,1,0))+(IF(M234=[13]Datos!$B$226,1,0))+(IF(M235=[13]Datos!$B$226,1,0))+(IF(M236=[13]Datos!$B$226,1,0))+(IF(M237=[13]Datos!$B$226,1,0)))),0,((IF(M232=[13]Datos!$B$225,U232,0))+(IF(M233=[13]Datos!$B$225,U233,0))+(IF(M234=[13]Datos!$B$225,U234,0))+(IF(M235=[13]Datos!$B$225,U235,0))+(IF(M236=[13]Datos!$B$225,U236,0))+(IF(M237=[13]Datos!$B$225,U237,0))+(IF(M232=[13]Datos!$B$226,U232,0))+(IF(M233=[13]Datos!$B$226,U233,0))+(IF(M234=[13]Datos!$B$226,U234,0))+(IF(M235=[13]Datos!$B$226,U235,0))+(IF(M236=[13]Datos!$B$226,U236,0))+(IF(M237=[13]Datos!$B$226,U237,0)))/((IF(M232=[13]Datos!$B$225,1,0))+(IF(M233=[13]Datos!$B$225,1,0))+(IF(M234=[13]Datos!$B$225,1,0))+(IF(M235=[13]Datos!$B$225,1,0))+(IF(M236=[13]Datos!$B$225,1,0))+(IF(M237=[13]Datos!$B$225,1,0))+(IF(M232=[13]Datos!$B$226,1,0))+(IF(M233=[13]Datos!$B$226,1,0))+(IF(M234=[13]Datos!$B$226,1,0))+(IF(M235=[13]Datos!$B$226,1,0))+(IF(M236=[13]Datos!$B$226,1,0))+(IF(M237=[13]Datos!$B$226,1,0))))</f>
        <v>0</v>
      </c>
      <c r="Y232" s="127" t="str">
        <f>IF(J232="","-",(IF(X232&gt;0,(IF(J232=[13]Datos!$B$219,[13]Datos!$B$219,IF(AND(J232=[13]Datos!$B$220,X232&gt;0.49),[13]Datos!$B$219,IF(AND(J232=[13]Datos!$B$221,X232&gt;0.74),[13]Datos!$B$219,IF(AND(J232=[13]Datos!$B$221,X232&lt;0.75,X232&gt;0.49),[13]Datos!$B$220,IF(AND(J232=[13]Datos!$B$222,X232&gt;0.74),[13]Datos!$B$220,IF(AND(J232=[13]Datos!$B$222,X232&lt;0.75,X232&gt;0.49),[13]Datos!$B$221,IF(AND(J232=[13]Datos!$B$223,X232&gt;0.74),[13]Datos!$B$221,IF(AND(J232=[13]Datos!$B$223,X232&lt;0.75,X232&gt;0.49),[13]Datos!$B$222,J232))))))))),J232)))</f>
        <v>Mayor - 10</v>
      </c>
      <c r="Z232" s="133" t="str">
        <f>IF(AND(W232=[13]Datos!$B$212,Y232=[13]Datos!$B$219),[13]Datos!$D$216,IF(AND(W232=[13]Datos!$B$212,Y232=[13]Datos!$B$220),[13]Datos!$E$216,IF(AND(W232=[13]Datos!$B$212,Y232=[13]Datos!$B$221),[13]Datos!$F$216,IF(AND(W232=[13]Datos!$B$213,Y232=[13]Datos!$B$219),[13]Datos!$D$215,IF(AND(W232=[13]Datos!$B$213,Y232=[13]Datos!$B$220),[13]Datos!$E$215,IF(AND(W232=[13]Datos!$B$213,Y232=[13]Datos!$B$221),[13]Datos!$F$215,IF(AND(W232=[13]Datos!$B$214,Y232=[13]Datos!$B$219),[13]Datos!$D$214,IF(AND(W232=[13]Datos!$B$214,Y232=[13]Datos!$B$220),[13]Datos!$E$214,IF(AND(W232=[13]Datos!$B$214,Y232=[13]Datos!$B$221),[13]Datos!$F$214,IF(AND(W232=[13]Datos!$B$215,Y232=[13]Datos!$B$219),[13]Datos!$D$213,IF(AND(W232=[13]Datos!$B$215,Y232=[13]Datos!$B$220),[13]Datos!$E$213,IF(AND(W232=[13]Datos!$B$215,Y232=[13]Datos!$B$221),[13]Datos!$F$213,IF(AND(W232=[13]Datos!$B$216,Y232=[13]Datos!$B$219),[13]Datos!$D$212,IF(AND(W232=[13]Datos!$B$216,Y232=[13]Datos!$B$220),[13]Datos!$E$212,IF(AND(W232=[13]Datos!$B$216,Y232=[13]Datos!$B$221),[13]Datos!$F$212,"-")))))))))))))))</f>
        <v>BAJA 10</v>
      </c>
      <c r="AA232" s="11"/>
      <c r="AB232" s="11"/>
      <c r="AC232" s="11"/>
      <c r="AD232" s="11"/>
      <c r="AE232" s="11"/>
      <c r="AF232" s="11"/>
      <c r="AG232" s="16"/>
    </row>
    <row r="233" spans="1:33" ht="33.75" customHeight="1" x14ac:dyDescent="0.25">
      <c r="A233" s="140"/>
      <c r="B233" s="141"/>
      <c r="C233" s="145"/>
      <c r="D233" s="136" t="s">
        <v>505</v>
      </c>
      <c r="E233" s="136"/>
      <c r="F233" s="136"/>
      <c r="G233" s="136"/>
      <c r="H233" s="35" t="s">
        <v>322</v>
      </c>
      <c r="I233" s="149"/>
      <c r="J233" s="149"/>
      <c r="K233" s="134"/>
      <c r="L233" s="18" t="s">
        <v>323</v>
      </c>
      <c r="M233" s="38" t="s">
        <v>47</v>
      </c>
      <c r="N233" s="20" t="s">
        <v>50</v>
      </c>
      <c r="O233" s="20" t="s">
        <v>50</v>
      </c>
      <c r="P233" s="20" t="s">
        <v>50</v>
      </c>
      <c r="Q233" s="20" t="s">
        <v>51</v>
      </c>
      <c r="R233" s="20" t="s">
        <v>48</v>
      </c>
      <c r="S233" s="20" t="s">
        <v>51</v>
      </c>
      <c r="T233" s="20" t="s">
        <v>52</v>
      </c>
      <c r="U233" s="41">
        <f>((IF(N233=[13]Datos!$B$233,15,0))/100)+((IF(O233=[13]Datos!$B$229,5,0))/100)+((IF(P233=[13]Datos!$B$233,15,0))/100)+((IF(Q233=[13]Datos!$B$231,10,0))/100)+((IF(R233=[13]Datos!$B$233,15,0))/100)+((IF(S233=[13]Datos!$B$231,10,0))/100)+((IF(T233=[13]Datos!$B$235,30,0))/100)</f>
        <v>0.64999999999999991</v>
      </c>
      <c r="V233" s="131"/>
      <c r="W233" s="128"/>
      <c r="X233" s="131"/>
      <c r="Y233" s="128"/>
      <c r="Z233" s="134"/>
      <c r="AA233" s="18"/>
      <c r="AB233" s="18"/>
      <c r="AC233" s="18"/>
      <c r="AD233" s="18"/>
      <c r="AE233" s="18"/>
      <c r="AF233" s="18"/>
      <c r="AG233" s="23"/>
    </row>
    <row r="234" spans="1:33" ht="35.25" customHeight="1" x14ac:dyDescent="0.25">
      <c r="A234" s="140"/>
      <c r="B234" s="141"/>
      <c r="C234" s="145"/>
      <c r="D234" s="136" t="s">
        <v>506</v>
      </c>
      <c r="E234" s="136"/>
      <c r="F234" s="136"/>
      <c r="G234" s="136"/>
      <c r="H234" s="35" t="s">
        <v>324</v>
      </c>
      <c r="I234" s="149"/>
      <c r="J234" s="149"/>
      <c r="K234" s="134"/>
      <c r="L234" s="18" t="s">
        <v>325</v>
      </c>
      <c r="M234" s="38" t="s">
        <v>47</v>
      </c>
      <c r="N234" s="20" t="s">
        <v>48</v>
      </c>
      <c r="O234" s="20" t="s">
        <v>49</v>
      </c>
      <c r="P234" s="20" t="s">
        <v>50</v>
      </c>
      <c r="Q234" s="20" t="s">
        <v>51</v>
      </c>
      <c r="R234" s="20" t="s">
        <v>50</v>
      </c>
      <c r="S234" s="20" t="s">
        <v>51</v>
      </c>
      <c r="T234" s="20" t="s">
        <v>50</v>
      </c>
      <c r="U234" s="41">
        <f>((IF(N234=[13]Datos!$B$233,15,0))/100)+((IF(O234=[13]Datos!$B$229,5,0))/100)+((IF(P234=[13]Datos!$B$233,15,0))/100)+((IF(Q234=[13]Datos!$B$231,10,0))/100)+((IF(R234=[13]Datos!$B$233,15,0))/100)+((IF(S234=[13]Datos!$B$231,10,0))/100)+((IF(T234=[13]Datos!$B$235,30,0))/100)</f>
        <v>0.4</v>
      </c>
      <c r="V234" s="131"/>
      <c r="W234" s="128"/>
      <c r="X234" s="131"/>
      <c r="Y234" s="128"/>
      <c r="Z234" s="134"/>
      <c r="AA234" s="18"/>
      <c r="AB234" s="18"/>
      <c r="AC234" s="18"/>
      <c r="AD234" s="79"/>
      <c r="AE234" s="18"/>
      <c r="AF234" s="79"/>
      <c r="AG234" s="81"/>
    </row>
    <row r="235" spans="1:33" ht="62.25" customHeight="1" x14ac:dyDescent="0.25">
      <c r="A235" s="140"/>
      <c r="B235" s="141"/>
      <c r="C235" s="145"/>
      <c r="D235" s="136" t="s">
        <v>507</v>
      </c>
      <c r="E235" s="136"/>
      <c r="F235" s="136"/>
      <c r="G235" s="136"/>
      <c r="H235" s="35" t="s">
        <v>326</v>
      </c>
      <c r="I235" s="149"/>
      <c r="J235" s="149"/>
      <c r="K235" s="134"/>
      <c r="L235" s="22"/>
      <c r="M235" s="38"/>
      <c r="N235" s="20"/>
      <c r="O235" s="20"/>
      <c r="P235" s="20"/>
      <c r="Q235" s="20"/>
      <c r="R235" s="20"/>
      <c r="S235" s="20"/>
      <c r="T235" s="20"/>
      <c r="U235" s="41">
        <f>((IF(N235=[13]Datos!$B$233,15,0))/100)+((IF(O235=[13]Datos!$B$229,5,0))/100)+((IF(P235=[13]Datos!$B$233,15,0))/100)+((IF(Q235=[13]Datos!$B$231,10,0))/100)+((IF(R235=[13]Datos!$B$233,15,0))/100)+((IF(S235=[13]Datos!$B$231,10,0))/100)+((IF(T235=[13]Datos!$B$235,30,0))/100)</f>
        <v>0</v>
      </c>
      <c r="V235" s="131"/>
      <c r="W235" s="128"/>
      <c r="X235" s="131"/>
      <c r="Y235" s="128"/>
      <c r="Z235" s="134"/>
      <c r="AA235" s="18"/>
      <c r="AB235" s="18"/>
      <c r="AC235" s="18"/>
      <c r="AD235" s="18"/>
      <c r="AE235" s="18"/>
      <c r="AF235" s="18"/>
      <c r="AG235" s="23"/>
    </row>
    <row r="236" spans="1:33" ht="30.75" customHeight="1" x14ac:dyDescent="0.25">
      <c r="A236" s="140"/>
      <c r="B236" s="141"/>
      <c r="C236" s="145"/>
      <c r="D236" s="136" t="s">
        <v>508</v>
      </c>
      <c r="E236" s="136"/>
      <c r="F236" s="136"/>
      <c r="G236" s="136"/>
      <c r="H236" s="35" t="s">
        <v>327</v>
      </c>
      <c r="I236" s="149"/>
      <c r="J236" s="149"/>
      <c r="K236" s="134"/>
      <c r="L236" s="22"/>
      <c r="M236" s="38"/>
      <c r="N236" s="20"/>
      <c r="O236" s="20"/>
      <c r="P236" s="20"/>
      <c r="Q236" s="20"/>
      <c r="R236" s="20"/>
      <c r="S236" s="20"/>
      <c r="T236" s="20"/>
      <c r="U236" s="41">
        <f>((IF(N236=[13]Datos!$B$233,15,0))/100)+((IF(O236=[13]Datos!$B$229,5,0))/100)+((IF(P236=[13]Datos!$B$233,15,0))/100)+((IF(Q236=[13]Datos!$B$231,10,0))/100)+((IF(R236=[13]Datos!$B$233,15,0))/100)+((IF(S236=[13]Datos!$B$231,10,0))/100)+((IF(T236=[13]Datos!$B$235,30,0))/100)</f>
        <v>0</v>
      </c>
      <c r="V236" s="131"/>
      <c r="W236" s="128"/>
      <c r="X236" s="131"/>
      <c r="Y236" s="128"/>
      <c r="Z236" s="134"/>
      <c r="AA236" s="18"/>
      <c r="AB236" s="18"/>
      <c r="AC236" s="18"/>
      <c r="AD236" s="18"/>
      <c r="AE236" s="18"/>
      <c r="AF236" s="18"/>
      <c r="AG236" s="23"/>
    </row>
    <row r="237" spans="1:33" ht="15.75" thickBot="1" x14ac:dyDescent="0.3">
      <c r="A237" s="142"/>
      <c r="B237" s="143"/>
      <c r="C237" s="146"/>
      <c r="D237" s="137"/>
      <c r="E237" s="137"/>
      <c r="F237" s="137"/>
      <c r="G237" s="137"/>
      <c r="H237" s="36"/>
      <c r="I237" s="150"/>
      <c r="J237" s="150"/>
      <c r="K237" s="135"/>
      <c r="L237" s="49"/>
      <c r="M237" s="39"/>
      <c r="N237" s="28"/>
      <c r="O237" s="28"/>
      <c r="P237" s="28"/>
      <c r="Q237" s="28"/>
      <c r="R237" s="28"/>
      <c r="S237" s="28"/>
      <c r="T237" s="28"/>
      <c r="U237" s="42">
        <f>((IF(N237=[13]Datos!$B$233,15,0))/100)+((IF(O237=[13]Datos!$B$229,5,0))/100)+((IF(P237=[13]Datos!$B$233,15,0))/100)+((IF(Q237=[13]Datos!$B$231,10,0))/100)+((IF(R237=[13]Datos!$B$233,15,0))/100)+((IF(S237=[13]Datos!$B$231,10,0))/100)+((IF(T237=[13]Datos!$B$235,30,0))/100)</f>
        <v>0</v>
      </c>
      <c r="V237" s="132"/>
      <c r="W237" s="129"/>
      <c r="X237" s="132"/>
      <c r="Y237" s="129"/>
      <c r="Z237" s="135"/>
      <c r="AA237" s="26"/>
      <c r="AB237" s="26"/>
      <c r="AC237" s="26"/>
      <c r="AD237" s="26"/>
      <c r="AE237" s="26"/>
      <c r="AF237" s="26"/>
      <c r="AG237" s="30"/>
    </row>
    <row r="238" spans="1:33" ht="54" customHeight="1" x14ac:dyDescent="0.25">
      <c r="A238" s="138" t="s">
        <v>317</v>
      </c>
      <c r="B238" s="139"/>
      <c r="C238" s="144" t="s">
        <v>442</v>
      </c>
      <c r="D238" s="147" t="s">
        <v>505</v>
      </c>
      <c r="E238" s="147"/>
      <c r="F238" s="147" t="s">
        <v>328</v>
      </c>
      <c r="G238" s="147" t="s">
        <v>329</v>
      </c>
      <c r="H238" s="43" t="s">
        <v>330</v>
      </c>
      <c r="I238" s="148" t="s">
        <v>160</v>
      </c>
      <c r="J238" s="148" t="s">
        <v>46</v>
      </c>
      <c r="K238" s="133" t="str">
        <f>IF(AND(I238=[13]Datos!$B$212,J238=[13]Datos!$B$219),[13]Datos!$D$216,IF(AND(I238=[13]Datos!$B$212,J238=[13]Datos!$B$220),[13]Datos!$E$216,IF(AND(I238=[13]Datos!$B$212,J238=[13]Datos!$B$221),[13]Datos!$F$216,IF(AND(I238=[13]Datos!$B$213,J238=[13]Datos!$B$219),[13]Datos!$D$215,IF(AND(I238=[13]Datos!$B$213,J238=[13]Datos!$B$220),[13]Datos!$E$215,IF(AND(I238=[13]Datos!$B$213,J238=[13]Datos!$B$221),[13]Datos!$F$215,IF(AND(I238=[13]Datos!$B$214,J238=[13]Datos!$B$219),[13]Datos!$D$214,IF(AND(I238=[13]Datos!$B$214,J238=[13]Datos!$B$220),[13]Datos!$E$214,IF(AND(I238=[13]Datos!$B$214,J238=[13]Datos!$B$221),[13]Datos!$F$214,IF(AND(I238=[13]Datos!$B$215,J238=[13]Datos!$B$219),[13]Datos!$D$213,IF(AND(I238=[13]Datos!$B$215,J238=[13]Datos!$B$220),[13]Datos!$E$213,IF(AND(I238=[13]Datos!$B$215,J238=[13]Datos!$B$221),[13]Datos!$F$213,IF(AND(I238=[13]Datos!$B$216,J238=[13]Datos!$B$219),[13]Datos!$D$212,IF(AND(I238=[13]Datos!$B$216,J238=[13]Datos!$B$220),[13]Datos!$E$212,IF(AND(I238=[13]Datos!$B$216,J238=[13]Datos!$B$221),[13]Datos!$F$212,"-")))))))))))))))</f>
        <v>MODERADA 20</v>
      </c>
      <c r="L238" s="11" t="s">
        <v>331</v>
      </c>
      <c r="M238" s="37" t="s">
        <v>81</v>
      </c>
      <c r="N238" s="13" t="s">
        <v>48</v>
      </c>
      <c r="O238" s="13" t="s">
        <v>49</v>
      </c>
      <c r="P238" s="13" t="s">
        <v>50</v>
      </c>
      <c r="Q238" s="13" t="s">
        <v>51</v>
      </c>
      <c r="R238" s="13" t="s">
        <v>48</v>
      </c>
      <c r="S238" s="13" t="s">
        <v>51</v>
      </c>
      <c r="T238" s="13" t="s">
        <v>52</v>
      </c>
      <c r="U238" s="40">
        <f>((IF(N238=[13]Datos!$B$233,15,0))/100)+((IF(O238=[13]Datos!$B$229,5,0))/100)+((IF(P238=[13]Datos!$B$233,15,0))/100)+((IF(Q238=[13]Datos!$B$231,10,0))/100)+((IF(R238=[13]Datos!$B$233,15,0))/100)+((IF(S238=[13]Datos!$B$231,10,0))/100)+((IF(T238=[13]Datos!$B$235,30,0))/100)</f>
        <v>0.85000000000000009</v>
      </c>
      <c r="V238" s="130">
        <f>IF(ISERROR(((IF(M238=[13]Datos!$B$224,U238,0))+(IF(M239=[13]Datos!$B$224,U239,0))+(IF(M240=[13]Datos!$B$224,U240,0))+(IF(M241=[13]Datos!$B$224,U241,0))+(IF(M242=[13]Datos!$B$224,U242,0))+(IF(M243=[13]Datos!$B$224,U243,0)))/((IF(M238=[13]Datos!$B$224,1,0))+(IF(M239=[13]Datos!$B$224,1,0))+(IF(M240=[13]Datos!$B$224,1,0))+(IF(M241=[13]Datos!$B$224,1,0))+(IF(M242=[13]Datos!$B$224,1,0))+(IF(M243=[13]Datos!$B$224,1,0)))),0,(((IF(M238=[13]Datos!$B$224,U238,0))+(IF(M239=[13]Datos!$B$224,U239,0))+(IF(M240=[13]Datos!$B$224,U240,0))+(IF(M241=[13]Datos!$B$224,U241,0))+(IF(M242=[13]Datos!$B$224,U242,0))+(IF(M243=[13]Datos!$B$224,U243,0)))/((IF(M238=[13]Datos!$B$224,1,0))+(IF(M239=[13]Datos!$B$224,1,0))+(IF(M240=[13]Datos!$B$224,1,0))+(IF(M241=[13]Datos!$B$224,1,0))+(IF(M242=[13]Datos!$B$224,1,0))+(IF(M243=[13]Datos!$B$224,1,0)))))</f>
        <v>0</v>
      </c>
      <c r="W238" s="127" t="str">
        <f>IF(I238="","-",(IF(V238&gt;0,(IF(I238=[13]Datos!$B$212,[13]Datos!$B$212,IF(AND(I238=[13]Datos!$B$213,V238&gt;0.49),[13]Datos!$B$212,IF(AND(I238=[13]Datos!$B$214,V238&gt;0.74),[13]Datos!$B$212,IF(AND(I238=[13]Datos!$B$214,V238&lt;0.75,V238&gt;0.49),[13]Datos!$B$213,IF(AND(I238=[13]Datos!$B$215,V238&gt;0.74),[13]Datos!$B$213,IF(AND(I238=[13]Datos!$B$215,V238&lt;0.75,V238&gt;0.49),[13]Datos!$B$214,IF(AND(I238=[13]Datos!$B$216,V238&gt;0.74),[13]Datos!$B$214,IF(AND(I238=[13]Datos!$B$216,V238&lt;0.75,V238&gt;0.49),[13]Datos!$B$215,I238))))))))),I238)))</f>
        <v>Rara vez - 1</v>
      </c>
      <c r="X238" s="130">
        <f>IF(ISERROR(((IF(M238=[13]Datos!$B$225,U238,0))+(IF(M239=[13]Datos!$B$225,U239,0))+(IF(M240=[13]Datos!$B$225,U240,0))+(IF(M241=[13]Datos!$B$225,U241,0))+(IF(M242=[13]Datos!$B$225,U242,0))+(IF(M243=[13]Datos!$B$225,U243,0))+(IF(M238=[13]Datos!$B$226,U238,0))+(IF(M239=[13]Datos!$B$226,U239,0))+(IF(M240=[13]Datos!$B$226,U240,0))+(IF(M241=[13]Datos!$B$226,U241,0))+(IF(M242=[13]Datos!$B$226,U242,0))+(IF(M243=[13]Datos!$B$226,U243,0)))/((IF(M238=[13]Datos!$B$225,1,0))+(IF(M239=[13]Datos!$B$225,1,0))+(IF(M240=[13]Datos!$B$225,1,0))+(IF(M241=[13]Datos!$B$225,1,0))+(IF(M242=[13]Datos!$B$225,1,0))+(IF(M243=[13]Datos!$B$225,1,0))+(IF(M238=[13]Datos!$B$226,1,0))+(IF(M239=[13]Datos!$B$226,1,0))+(IF(M240=[13]Datos!$B$226,1,0))+(IF(M241=[13]Datos!$B$226,1,0))+(IF(M242=[13]Datos!$B$226,1,0))+(IF(M243=[13]Datos!$B$226,1,0)))),0,((IF(M238=[13]Datos!$B$225,U238,0))+(IF(M239=[13]Datos!$B$225,U239,0))+(IF(M240=[13]Datos!$B$225,U240,0))+(IF(M241=[13]Datos!$B$225,U241,0))+(IF(M242=[13]Datos!$B$225,U242,0))+(IF(M243=[13]Datos!$B$225,U243,0))+(IF(M238=[13]Datos!$B$226,U238,0))+(IF(M239=[13]Datos!$B$226,U239,0))+(IF(M240=[13]Datos!$B$226,U240,0))+(IF(M241=[13]Datos!$B$226,U241,0))+(IF(M242=[13]Datos!$B$226,U242,0))+(IF(M243=[13]Datos!$B$226,U243,0)))/((IF(M238=[13]Datos!$B$225,1,0))+(IF(M239=[13]Datos!$B$225,1,0))+(IF(M240=[13]Datos!$B$225,1,0))+(IF(M241=[13]Datos!$B$225,1,0))+(IF(M242=[13]Datos!$B$225,1,0))+(IF(M243=[13]Datos!$B$225,1,0))+(IF(M238=[13]Datos!$B$226,1,0))+(IF(M239=[13]Datos!$B$226,1,0))+(IF(M240=[13]Datos!$B$226,1,0))+(IF(M241=[13]Datos!$B$226,1,0))+(IF(M242=[13]Datos!$B$226,1,0))+(IF(M243=[13]Datos!$B$226,1,0))))</f>
        <v>0.85000000000000009</v>
      </c>
      <c r="Y238" s="127" t="str">
        <f>IF(J238="","-",(IF(X238&gt;0,(IF(J238=[13]Datos!$B$219,[13]Datos!$B$219,IF(AND(J238=[13]Datos!$B$220,X238&gt;0.49),[13]Datos!$B$219,IF(AND(J238=[13]Datos!$B$221,X238&gt;0.74),[13]Datos!$B$219,IF(AND(J238=[13]Datos!$B$221,X238&lt;0.75,X238&gt;0.49),[13]Datos!$B$220,IF(AND(J238=[13]Datos!$B$222,X238&gt;0.74),[13]Datos!$B$220,IF(AND(J238=[13]Datos!$B$222,X238&lt;0.75,X238&gt;0.49),[13]Datos!$B$221,IF(AND(J238=[13]Datos!$B$223,X238&gt;0.74),[13]Datos!$B$221,IF(AND(J238=[13]Datos!$B$223,X238&lt;0.75,X238&gt;0.49),[13]Datos!$B$222,J238))))))))),J238)))</f>
        <v>Moderado - 5</v>
      </c>
      <c r="Z238" s="133" t="str">
        <f>IF(AND(W238=[13]Datos!$B$212,Y238=[13]Datos!$B$219),[13]Datos!$D$216,IF(AND(W238=[13]Datos!$B$212,Y238=[13]Datos!$B$220),[13]Datos!$E$216,IF(AND(W238=[13]Datos!$B$212,Y238=[13]Datos!$B$221),[13]Datos!$F$216,IF(AND(W238=[13]Datos!$B$213,Y238=[13]Datos!$B$219),[13]Datos!$D$215,IF(AND(W238=[13]Datos!$B$213,Y238=[13]Datos!$B$220),[13]Datos!$E$215,IF(AND(W238=[13]Datos!$B$213,Y238=[13]Datos!$B$221),[13]Datos!$F$215,IF(AND(W238=[13]Datos!$B$214,Y238=[13]Datos!$B$219),[13]Datos!$D$214,IF(AND(W238=[13]Datos!$B$214,Y238=[13]Datos!$B$220),[13]Datos!$E$214,IF(AND(W238=[13]Datos!$B$214,Y238=[13]Datos!$B$221),[13]Datos!$F$214,IF(AND(W238=[13]Datos!$B$215,Y238=[13]Datos!$B$219),[13]Datos!$D$213,IF(AND(W238=[13]Datos!$B$215,Y238=[13]Datos!$B$220),[13]Datos!$E$213,IF(AND(W238=[13]Datos!$B$215,Y238=[13]Datos!$B$221),[13]Datos!$F$213,IF(AND(W238=[13]Datos!$B$216,Y238=[13]Datos!$B$219),[13]Datos!$D$212,IF(AND(W238=[13]Datos!$B$216,Y238=[13]Datos!$B$220),[13]Datos!$E$212,IF(AND(W238=[13]Datos!$B$216,Y238=[13]Datos!$B$221),[13]Datos!$F$212,"-")))))))))))))))</f>
        <v>BAJA 5</v>
      </c>
      <c r="AA238" s="11"/>
      <c r="AB238" s="11"/>
      <c r="AC238" s="11"/>
      <c r="AD238" s="11"/>
      <c r="AE238" s="11"/>
      <c r="AF238" s="11"/>
      <c r="AG238" s="16"/>
    </row>
    <row r="239" spans="1:33" ht="36" customHeight="1" x14ac:dyDescent="0.25">
      <c r="A239" s="140"/>
      <c r="B239" s="141"/>
      <c r="C239" s="145"/>
      <c r="D239" s="136" t="s">
        <v>509</v>
      </c>
      <c r="E239" s="136"/>
      <c r="F239" s="136"/>
      <c r="G239" s="136"/>
      <c r="H239" s="35" t="s">
        <v>320</v>
      </c>
      <c r="I239" s="149"/>
      <c r="J239" s="149"/>
      <c r="K239" s="134"/>
      <c r="L239" s="22"/>
      <c r="M239" s="38"/>
      <c r="N239" s="20"/>
      <c r="O239" s="20"/>
      <c r="P239" s="20"/>
      <c r="Q239" s="20"/>
      <c r="R239" s="20"/>
      <c r="S239" s="20"/>
      <c r="T239" s="20"/>
      <c r="U239" s="41">
        <f>((IF(N239=[13]Datos!$B$233,15,0))/100)+((IF(O239=[13]Datos!$B$229,5,0))/100)+((IF(P239=[13]Datos!$B$233,15,0))/100)+((IF(Q239=[13]Datos!$B$231,10,0))/100)+((IF(R239=[13]Datos!$B$233,15,0))/100)+((IF(S239=[13]Datos!$B$231,10,0))/100)+((IF(T239=[13]Datos!$B$235,30,0))/100)</f>
        <v>0</v>
      </c>
      <c r="V239" s="131"/>
      <c r="W239" s="128"/>
      <c r="X239" s="131"/>
      <c r="Y239" s="128"/>
      <c r="Z239" s="134"/>
      <c r="AA239" s="18"/>
      <c r="AB239" s="18"/>
      <c r="AC239" s="18"/>
      <c r="AD239" s="18"/>
      <c r="AE239" s="18"/>
      <c r="AF239" s="18"/>
      <c r="AG239" s="23"/>
    </row>
    <row r="240" spans="1:33" ht="49.5" customHeight="1" x14ac:dyDescent="0.25">
      <c r="A240" s="140"/>
      <c r="B240" s="141"/>
      <c r="C240" s="145"/>
      <c r="D240" s="136" t="s">
        <v>510</v>
      </c>
      <c r="E240" s="136"/>
      <c r="F240" s="136"/>
      <c r="G240" s="136"/>
      <c r="H240" s="35" t="s">
        <v>332</v>
      </c>
      <c r="I240" s="149"/>
      <c r="J240" s="149"/>
      <c r="K240" s="134"/>
      <c r="L240" s="22"/>
      <c r="M240" s="38"/>
      <c r="N240" s="20"/>
      <c r="O240" s="20"/>
      <c r="P240" s="20"/>
      <c r="Q240" s="20"/>
      <c r="R240" s="20"/>
      <c r="S240" s="20"/>
      <c r="T240" s="20"/>
      <c r="U240" s="41">
        <f>((IF(N240=[13]Datos!$B$233,15,0))/100)+((IF(O240=[13]Datos!$B$229,5,0))/100)+((IF(P240=[13]Datos!$B$233,15,0))/100)+((IF(Q240=[13]Datos!$B$231,10,0))/100)+((IF(R240=[13]Datos!$B$233,15,0))/100)+((IF(S240=[13]Datos!$B$231,10,0))/100)+((IF(T240=[13]Datos!$B$235,30,0))/100)</f>
        <v>0</v>
      </c>
      <c r="V240" s="131"/>
      <c r="W240" s="128"/>
      <c r="X240" s="131"/>
      <c r="Y240" s="128"/>
      <c r="Z240" s="134"/>
      <c r="AA240" s="18"/>
      <c r="AB240" s="18"/>
      <c r="AC240" s="18"/>
      <c r="AD240" s="79"/>
      <c r="AE240" s="18"/>
      <c r="AF240" s="79"/>
      <c r="AG240" s="81"/>
    </row>
    <row r="241" spans="1:33" ht="27.75" customHeight="1" x14ac:dyDescent="0.25">
      <c r="A241" s="140"/>
      <c r="B241" s="141"/>
      <c r="C241" s="145"/>
      <c r="D241" s="136"/>
      <c r="E241" s="136"/>
      <c r="F241" s="136"/>
      <c r="G241" s="136"/>
      <c r="H241" s="35" t="s">
        <v>333</v>
      </c>
      <c r="I241" s="149"/>
      <c r="J241" s="149"/>
      <c r="K241" s="134"/>
      <c r="L241" s="22"/>
      <c r="M241" s="38"/>
      <c r="N241" s="20"/>
      <c r="O241" s="20"/>
      <c r="P241" s="20"/>
      <c r="Q241" s="20"/>
      <c r="R241" s="20"/>
      <c r="S241" s="20"/>
      <c r="T241" s="20"/>
      <c r="U241" s="41">
        <f>((IF(N241=[13]Datos!$B$233,15,0))/100)+((IF(O241=[13]Datos!$B$229,5,0))/100)+((IF(P241=[13]Datos!$B$233,15,0))/100)+((IF(Q241=[13]Datos!$B$231,10,0))/100)+((IF(R241=[13]Datos!$B$233,15,0))/100)+((IF(S241=[13]Datos!$B$231,10,0))/100)+((IF(T241=[13]Datos!$B$235,30,0))/100)</f>
        <v>0</v>
      </c>
      <c r="V241" s="131"/>
      <c r="W241" s="128"/>
      <c r="X241" s="131"/>
      <c r="Y241" s="128"/>
      <c r="Z241" s="134"/>
      <c r="AA241" s="18"/>
      <c r="AB241" s="18"/>
      <c r="AC241" s="18"/>
      <c r="AD241" s="18"/>
      <c r="AE241" s="18"/>
      <c r="AF241" s="18"/>
      <c r="AG241" s="23"/>
    </row>
    <row r="242" spans="1:33" x14ac:dyDescent="0.25">
      <c r="A242" s="140"/>
      <c r="B242" s="141"/>
      <c r="C242" s="145"/>
      <c r="D242" s="136"/>
      <c r="E242" s="136"/>
      <c r="F242" s="136"/>
      <c r="G242" s="136"/>
      <c r="H242" s="35"/>
      <c r="I242" s="149"/>
      <c r="J242" s="149"/>
      <c r="K242" s="134"/>
      <c r="L242" s="22"/>
      <c r="M242" s="38"/>
      <c r="N242" s="20"/>
      <c r="O242" s="20"/>
      <c r="P242" s="20"/>
      <c r="Q242" s="20"/>
      <c r="R242" s="20"/>
      <c r="S242" s="20"/>
      <c r="T242" s="20"/>
      <c r="U242" s="41">
        <f>((IF(N242=[13]Datos!$B$233,15,0))/100)+((IF(O242=[13]Datos!$B$229,5,0))/100)+((IF(P242=[13]Datos!$B$233,15,0))/100)+((IF(Q242=[13]Datos!$B$231,10,0))/100)+((IF(R242=[13]Datos!$B$233,15,0))/100)+((IF(S242=[13]Datos!$B$231,10,0))/100)+((IF(T242=[13]Datos!$B$235,30,0))/100)</f>
        <v>0</v>
      </c>
      <c r="V242" s="131"/>
      <c r="W242" s="128"/>
      <c r="X242" s="131"/>
      <c r="Y242" s="128"/>
      <c r="Z242" s="134"/>
      <c r="AA242" s="18"/>
      <c r="AB242" s="18"/>
      <c r="AC242" s="18"/>
      <c r="AD242" s="18"/>
      <c r="AE242" s="18"/>
      <c r="AF242" s="18"/>
      <c r="AG242" s="23"/>
    </row>
    <row r="243" spans="1:33" ht="15.75" thickBot="1" x14ac:dyDescent="0.3">
      <c r="A243" s="142"/>
      <c r="B243" s="143"/>
      <c r="C243" s="146"/>
      <c r="D243" s="137"/>
      <c r="E243" s="137"/>
      <c r="F243" s="137"/>
      <c r="G243" s="137"/>
      <c r="H243" s="36"/>
      <c r="I243" s="150"/>
      <c r="J243" s="150"/>
      <c r="K243" s="135"/>
      <c r="L243" s="49"/>
      <c r="M243" s="39"/>
      <c r="N243" s="28"/>
      <c r="O243" s="28"/>
      <c r="P243" s="28"/>
      <c r="Q243" s="28"/>
      <c r="R243" s="28"/>
      <c r="S243" s="28"/>
      <c r="T243" s="28"/>
      <c r="U243" s="42">
        <f>((IF(N243=[13]Datos!$B$233,15,0))/100)+((IF(O243=[13]Datos!$B$229,5,0))/100)+((IF(P243=[13]Datos!$B$233,15,0))/100)+((IF(Q243=[13]Datos!$B$231,10,0))/100)+((IF(R243=[13]Datos!$B$233,15,0))/100)+((IF(S243=[13]Datos!$B$231,10,0))/100)+((IF(T243=[13]Datos!$B$235,30,0))/100)</f>
        <v>0</v>
      </c>
      <c r="V243" s="132"/>
      <c r="W243" s="129"/>
      <c r="X243" s="132"/>
      <c r="Y243" s="129"/>
      <c r="Z243" s="135"/>
      <c r="AA243" s="26"/>
      <c r="AB243" s="26"/>
      <c r="AC243" s="26"/>
      <c r="AD243" s="26"/>
      <c r="AE243" s="26"/>
      <c r="AF243" s="26"/>
      <c r="AG243" s="30"/>
    </row>
  </sheetData>
  <sheetProtection sheet="1" objects="1" scenarios="1" selectLockedCells="1" selectUnlockedCells="1"/>
  <mergeCells count="728">
    <mergeCell ref="K8:K9"/>
    <mergeCell ref="L8:L9"/>
    <mergeCell ref="A2:A4"/>
    <mergeCell ref="B2:C2"/>
    <mergeCell ref="E2:E4"/>
    <mergeCell ref="B3:C3"/>
    <mergeCell ref="B4:C4"/>
    <mergeCell ref="A7:B9"/>
    <mergeCell ref="C7:C9"/>
    <mergeCell ref="D7:E7"/>
    <mergeCell ref="AA8:AC8"/>
    <mergeCell ref="AD8:AG8"/>
    <mergeCell ref="A10:B15"/>
    <mergeCell ref="C10:C15"/>
    <mergeCell ref="D10:E10"/>
    <mergeCell ref="F10:F15"/>
    <mergeCell ref="G10:G15"/>
    <mergeCell ref="I10:I15"/>
    <mergeCell ref="J10:J15"/>
    <mergeCell ref="K10:K15"/>
    <mergeCell ref="M8:M9"/>
    <mergeCell ref="N8:T8"/>
    <mergeCell ref="U8:U9"/>
    <mergeCell ref="V8:W8"/>
    <mergeCell ref="X8:Y8"/>
    <mergeCell ref="Z8:Z9"/>
    <mergeCell ref="F7:F9"/>
    <mergeCell ref="G7:G9"/>
    <mergeCell ref="H7:H9"/>
    <mergeCell ref="I7:K7"/>
    <mergeCell ref="L7:AG7"/>
    <mergeCell ref="D8:E9"/>
    <mergeCell ref="I8:I9"/>
    <mergeCell ref="J8:J9"/>
    <mergeCell ref="V10:V15"/>
    <mergeCell ref="W10:W15"/>
    <mergeCell ref="X10:X15"/>
    <mergeCell ref="Y10:Y15"/>
    <mergeCell ref="Z10:Z15"/>
    <mergeCell ref="D11:E11"/>
    <mergeCell ref="D12:E12"/>
    <mergeCell ref="D13:E13"/>
    <mergeCell ref="D14:E14"/>
    <mergeCell ref="D15:E15"/>
    <mergeCell ref="A22:B27"/>
    <mergeCell ref="C22:C27"/>
    <mergeCell ref="D22:E22"/>
    <mergeCell ref="F22:F27"/>
    <mergeCell ref="G22:G27"/>
    <mergeCell ref="I22:I27"/>
    <mergeCell ref="Z16:Z21"/>
    <mergeCell ref="D17:E17"/>
    <mergeCell ref="D18:E18"/>
    <mergeCell ref="D19:E19"/>
    <mergeCell ref="D20:E20"/>
    <mergeCell ref="D21:E21"/>
    <mergeCell ref="J16:J21"/>
    <mergeCell ref="K16:K21"/>
    <mergeCell ref="V16:V21"/>
    <mergeCell ref="W16:W21"/>
    <mergeCell ref="X16:X21"/>
    <mergeCell ref="Y16:Y21"/>
    <mergeCell ref="A16:B21"/>
    <mergeCell ref="C16:C21"/>
    <mergeCell ref="D16:E16"/>
    <mergeCell ref="F16:F21"/>
    <mergeCell ref="G16:G21"/>
    <mergeCell ref="I16:I21"/>
    <mergeCell ref="Z22:Z27"/>
    <mergeCell ref="D23:E23"/>
    <mergeCell ref="D24:E24"/>
    <mergeCell ref="D25:E25"/>
    <mergeCell ref="D26:E26"/>
    <mergeCell ref="D27:E27"/>
    <mergeCell ref="J22:J27"/>
    <mergeCell ref="K22:K27"/>
    <mergeCell ref="V22:V27"/>
    <mergeCell ref="W22:W27"/>
    <mergeCell ref="X22:X27"/>
    <mergeCell ref="Y22:Y27"/>
    <mergeCell ref="A34:B39"/>
    <mergeCell ref="C34:C39"/>
    <mergeCell ref="D34:E34"/>
    <mergeCell ref="F34:F39"/>
    <mergeCell ref="G34:G39"/>
    <mergeCell ref="I34:I39"/>
    <mergeCell ref="Z28:Z33"/>
    <mergeCell ref="D29:E29"/>
    <mergeCell ref="D30:E30"/>
    <mergeCell ref="D31:E31"/>
    <mergeCell ref="D32:E32"/>
    <mergeCell ref="D33:E33"/>
    <mergeCell ref="J28:J33"/>
    <mergeCell ref="K28:K33"/>
    <mergeCell ref="V28:V33"/>
    <mergeCell ref="W28:W33"/>
    <mergeCell ref="X28:X33"/>
    <mergeCell ref="Y28:Y33"/>
    <mergeCell ref="A28:B33"/>
    <mergeCell ref="C28:C33"/>
    <mergeCell ref="D28:E28"/>
    <mergeCell ref="F28:F33"/>
    <mergeCell ref="G28:G33"/>
    <mergeCell ref="I28:I33"/>
    <mergeCell ref="Z34:Z39"/>
    <mergeCell ref="D35:E35"/>
    <mergeCell ref="D36:E36"/>
    <mergeCell ref="D37:E37"/>
    <mergeCell ref="D38:E38"/>
    <mergeCell ref="D39:E39"/>
    <mergeCell ref="J34:J39"/>
    <mergeCell ref="K34:K39"/>
    <mergeCell ref="V34:V39"/>
    <mergeCell ref="W34:W39"/>
    <mergeCell ref="X34:X39"/>
    <mergeCell ref="Y34:Y39"/>
    <mergeCell ref="V40:V45"/>
    <mergeCell ref="W40:W45"/>
    <mergeCell ref="X40:X45"/>
    <mergeCell ref="Y40:Y45"/>
    <mergeCell ref="Z40:Z45"/>
    <mergeCell ref="V46:V51"/>
    <mergeCell ref="W46:W51"/>
    <mergeCell ref="X46:X51"/>
    <mergeCell ref="Y46:Y51"/>
    <mergeCell ref="Z46:Z51"/>
    <mergeCell ref="V52:V57"/>
    <mergeCell ref="W52:W57"/>
    <mergeCell ref="X52:X57"/>
    <mergeCell ref="Y52:Y57"/>
    <mergeCell ref="Z52:Z57"/>
    <mergeCell ref="V58:V63"/>
    <mergeCell ref="W58:W63"/>
    <mergeCell ref="X58:X63"/>
    <mergeCell ref="Y58:Y63"/>
    <mergeCell ref="Z58:Z63"/>
    <mergeCell ref="D40:E40"/>
    <mergeCell ref="F40:F45"/>
    <mergeCell ref="G40:G45"/>
    <mergeCell ref="I40:I45"/>
    <mergeCell ref="J40:J45"/>
    <mergeCell ref="D41:E41"/>
    <mergeCell ref="D42:E42"/>
    <mergeCell ref="D43:E43"/>
    <mergeCell ref="D44:E44"/>
    <mergeCell ref="D45:E45"/>
    <mergeCell ref="G52:G57"/>
    <mergeCell ref="I52:I57"/>
    <mergeCell ref="J52:J57"/>
    <mergeCell ref="D53:E53"/>
    <mergeCell ref="D54:E54"/>
    <mergeCell ref="D55:E55"/>
    <mergeCell ref="D56:E56"/>
    <mergeCell ref="D57:E57"/>
    <mergeCell ref="D46:E46"/>
    <mergeCell ref="F46:F51"/>
    <mergeCell ref="G46:G51"/>
    <mergeCell ref="I46:I51"/>
    <mergeCell ref="J46:J51"/>
    <mergeCell ref="D47:E47"/>
    <mergeCell ref="D48:E48"/>
    <mergeCell ref="D49:E49"/>
    <mergeCell ref="D50:E50"/>
    <mergeCell ref="D51:E51"/>
    <mergeCell ref="K40:K45"/>
    <mergeCell ref="K46:K51"/>
    <mergeCell ref="K52:K57"/>
    <mergeCell ref="K58:K63"/>
    <mergeCell ref="A40:B45"/>
    <mergeCell ref="C40:C45"/>
    <mergeCell ref="A46:B51"/>
    <mergeCell ref="C46:C51"/>
    <mergeCell ref="A52:B57"/>
    <mergeCell ref="C52:C57"/>
    <mergeCell ref="A58:B63"/>
    <mergeCell ref="C58:C63"/>
    <mergeCell ref="D58:E58"/>
    <mergeCell ref="F58:F63"/>
    <mergeCell ref="G58:G63"/>
    <mergeCell ref="I58:I63"/>
    <mergeCell ref="J58:J63"/>
    <mergeCell ref="D59:E59"/>
    <mergeCell ref="D60:E60"/>
    <mergeCell ref="D61:E61"/>
    <mergeCell ref="D62:E62"/>
    <mergeCell ref="D63:E63"/>
    <mergeCell ref="D52:E52"/>
    <mergeCell ref="F52:F57"/>
    <mergeCell ref="A64:B69"/>
    <mergeCell ref="C64:C69"/>
    <mergeCell ref="D64:E64"/>
    <mergeCell ref="F64:F69"/>
    <mergeCell ref="G64:G69"/>
    <mergeCell ref="I64:I69"/>
    <mergeCell ref="J64:J69"/>
    <mergeCell ref="K64:K69"/>
    <mergeCell ref="V64:V69"/>
    <mergeCell ref="W64:W69"/>
    <mergeCell ref="X64:X69"/>
    <mergeCell ref="Y64:Y69"/>
    <mergeCell ref="Z64:Z69"/>
    <mergeCell ref="D65:E65"/>
    <mergeCell ref="D66:E66"/>
    <mergeCell ref="D67:E67"/>
    <mergeCell ref="D68:E68"/>
    <mergeCell ref="D69:E69"/>
    <mergeCell ref="A70:B75"/>
    <mergeCell ref="C70:C75"/>
    <mergeCell ref="D70:E70"/>
    <mergeCell ref="F70:F75"/>
    <mergeCell ref="G70:G75"/>
    <mergeCell ref="I70:I75"/>
    <mergeCell ref="J70:J75"/>
    <mergeCell ref="K70:K75"/>
    <mergeCell ref="V70:V75"/>
    <mergeCell ref="W70:W75"/>
    <mergeCell ref="X70:X75"/>
    <mergeCell ref="Y70:Y75"/>
    <mergeCell ref="Z70:Z75"/>
    <mergeCell ref="D71:E71"/>
    <mergeCell ref="D72:E72"/>
    <mergeCell ref="D73:E73"/>
    <mergeCell ref="D74:E74"/>
    <mergeCell ref="D75:E75"/>
    <mergeCell ref="A76:B81"/>
    <mergeCell ref="C76:C81"/>
    <mergeCell ref="D76:E76"/>
    <mergeCell ref="F76:F81"/>
    <mergeCell ref="G76:G81"/>
    <mergeCell ref="I76:I81"/>
    <mergeCell ref="J76:J81"/>
    <mergeCell ref="K76:K81"/>
    <mergeCell ref="V76:V81"/>
    <mergeCell ref="W76:W81"/>
    <mergeCell ref="X76:X81"/>
    <mergeCell ref="Y76:Y81"/>
    <mergeCell ref="Z76:Z81"/>
    <mergeCell ref="D77:E77"/>
    <mergeCell ref="D78:E78"/>
    <mergeCell ref="D79:E79"/>
    <mergeCell ref="D80:E80"/>
    <mergeCell ref="D81:E81"/>
    <mergeCell ref="A82:B87"/>
    <mergeCell ref="C82:C87"/>
    <mergeCell ref="D82:E82"/>
    <mergeCell ref="F82:F87"/>
    <mergeCell ref="G82:G87"/>
    <mergeCell ref="I82:I87"/>
    <mergeCell ref="J82:J87"/>
    <mergeCell ref="K82:K87"/>
    <mergeCell ref="V82:V87"/>
    <mergeCell ref="W82:W87"/>
    <mergeCell ref="X82:X87"/>
    <mergeCell ref="Y82:Y87"/>
    <mergeCell ref="Z82:Z87"/>
    <mergeCell ref="D83:E83"/>
    <mergeCell ref="D84:E84"/>
    <mergeCell ref="D85:E85"/>
    <mergeCell ref="D86:E86"/>
    <mergeCell ref="D87:E87"/>
    <mergeCell ref="A88:B93"/>
    <mergeCell ref="C88:C93"/>
    <mergeCell ref="D88:E88"/>
    <mergeCell ref="F88:F93"/>
    <mergeCell ref="G88:G93"/>
    <mergeCell ref="I88:I93"/>
    <mergeCell ref="J88:J93"/>
    <mergeCell ref="K88:K93"/>
    <mergeCell ref="V88:V93"/>
    <mergeCell ref="W88:W93"/>
    <mergeCell ref="X88:X93"/>
    <mergeCell ref="Y88:Y93"/>
    <mergeCell ref="Z88:Z93"/>
    <mergeCell ref="D89:E89"/>
    <mergeCell ref="D90:E90"/>
    <mergeCell ref="D91:E91"/>
    <mergeCell ref="D92:E92"/>
    <mergeCell ref="D93:E93"/>
    <mergeCell ref="A94:B99"/>
    <mergeCell ref="C94:C99"/>
    <mergeCell ref="D94:E94"/>
    <mergeCell ref="F94:F99"/>
    <mergeCell ref="G94:G99"/>
    <mergeCell ref="I94:I99"/>
    <mergeCell ref="J94:J99"/>
    <mergeCell ref="K94:K99"/>
    <mergeCell ref="V94:V99"/>
    <mergeCell ref="W94:W99"/>
    <mergeCell ref="X94:X99"/>
    <mergeCell ref="Y94:Y99"/>
    <mergeCell ref="Z94:Z99"/>
    <mergeCell ref="D95:E95"/>
    <mergeCell ref="D96:E96"/>
    <mergeCell ref="D97:E97"/>
    <mergeCell ref="D98:E98"/>
    <mergeCell ref="D99:E99"/>
    <mergeCell ref="A100:B105"/>
    <mergeCell ref="C100:C105"/>
    <mergeCell ref="D100:E100"/>
    <mergeCell ref="F100:F105"/>
    <mergeCell ref="G100:G105"/>
    <mergeCell ref="I100:I105"/>
    <mergeCell ref="J100:J105"/>
    <mergeCell ref="K100:K105"/>
    <mergeCell ref="V100:V105"/>
    <mergeCell ref="W100:W105"/>
    <mergeCell ref="X100:X105"/>
    <mergeCell ref="Y100:Y105"/>
    <mergeCell ref="Z100:Z105"/>
    <mergeCell ref="D101:E101"/>
    <mergeCell ref="D102:E102"/>
    <mergeCell ref="D103:E103"/>
    <mergeCell ref="D104:E104"/>
    <mergeCell ref="D105:E105"/>
    <mergeCell ref="A106:B111"/>
    <mergeCell ref="C106:C111"/>
    <mergeCell ref="D106:E106"/>
    <mergeCell ref="F106:F111"/>
    <mergeCell ref="G106:G111"/>
    <mergeCell ref="I106:I111"/>
    <mergeCell ref="J106:J111"/>
    <mergeCell ref="K106:K111"/>
    <mergeCell ref="V106:V111"/>
    <mergeCell ref="W106:W111"/>
    <mergeCell ref="X106:X111"/>
    <mergeCell ref="Y106:Y111"/>
    <mergeCell ref="Z106:Z111"/>
    <mergeCell ref="D107:E107"/>
    <mergeCell ref="D108:E108"/>
    <mergeCell ref="D109:E109"/>
    <mergeCell ref="D110:E110"/>
    <mergeCell ref="D111:E111"/>
    <mergeCell ref="A112:B117"/>
    <mergeCell ref="C112:C117"/>
    <mergeCell ref="D112:E112"/>
    <mergeCell ref="F112:F117"/>
    <mergeCell ref="G112:G117"/>
    <mergeCell ref="I112:I117"/>
    <mergeCell ref="J112:J117"/>
    <mergeCell ref="K112:K117"/>
    <mergeCell ref="V112:V117"/>
    <mergeCell ref="W112:W117"/>
    <mergeCell ref="X112:X117"/>
    <mergeCell ref="Y112:Y117"/>
    <mergeCell ref="Z112:Z117"/>
    <mergeCell ref="D113:E113"/>
    <mergeCell ref="D114:E114"/>
    <mergeCell ref="D115:E115"/>
    <mergeCell ref="D116:E116"/>
    <mergeCell ref="D117:E117"/>
    <mergeCell ref="A118:B123"/>
    <mergeCell ref="C118:C123"/>
    <mergeCell ref="D118:E118"/>
    <mergeCell ref="F118:F123"/>
    <mergeCell ref="G118:G123"/>
    <mergeCell ref="I118:I123"/>
    <mergeCell ref="J118:J123"/>
    <mergeCell ref="K118:K123"/>
    <mergeCell ref="V118:V123"/>
    <mergeCell ref="W118:W123"/>
    <mergeCell ref="X118:X123"/>
    <mergeCell ref="Y118:Y123"/>
    <mergeCell ref="Z118:Z123"/>
    <mergeCell ref="D119:E119"/>
    <mergeCell ref="D120:E120"/>
    <mergeCell ref="D121:E121"/>
    <mergeCell ref="D122:E122"/>
    <mergeCell ref="D123:E123"/>
    <mergeCell ref="A124:B129"/>
    <mergeCell ref="C124:C129"/>
    <mergeCell ref="D124:E124"/>
    <mergeCell ref="F124:F129"/>
    <mergeCell ref="G124:G129"/>
    <mergeCell ref="I124:I129"/>
    <mergeCell ref="J124:J129"/>
    <mergeCell ref="K124:K129"/>
    <mergeCell ref="V124:V129"/>
    <mergeCell ref="W124:W129"/>
    <mergeCell ref="X124:X129"/>
    <mergeCell ref="Y124:Y129"/>
    <mergeCell ref="Z124:Z129"/>
    <mergeCell ref="D125:E125"/>
    <mergeCell ref="D126:E126"/>
    <mergeCell ref="D127:E127"/>
    <mergeCell ref="D128:E128"/>
    <mergeCell ref="D129:E129"/>
    <mergeCell ref="A130:B135"/>
    <mergeCell ref="C130:C135"/>
    <mergeCell ref="D130:E130"/>
    <mergeCell ref="F130:F135"/>
    <mergeCell ref="G130:G135"/>
    <mergeCell ref="I130:I135"/>
    <mergeCell ref="J130:J135"/>
    <mergeCell ref="K130:K135"/>
    <mergeCell ref="V130:V135"/>
    <mergeCell ref="W130:W135"/>
    <mergeCell ref="X130:X135"/>
    <mergeCell ref="Y130:Y135"/>
    <mergeCell ref="Z130:Z135"/>
    <mergeCell ref="D131:E131"/>
    <mergeCell ref="D132:E132"/>
    <mergeCell ref="D133:E133"/>
    <mergeCell ref="D134:E134"/>
    <mergeCell ref="D135:E135"/>
    <mergeCell ref="A136:B141"/>
    <mergeCell ref="C136:C141"/>
    <mergeCell ref="D136:E136"/>
    <mergeCell ref="F136:F141"/>
    <mergeCell ref="G136:G141"/>
    <mergeCell ref="I136:I141"/>
    <mergeCell ref="J136:J141"/>
    <mergeCell ref="K136:K141"/>
    <mergeCell ref="V136:V141"/>
    <mergeCell ref="W136:W141"/>
    <mergeCell ref="X136:X141"/>
    <mergeCell ref="Y136:Y141"/>
    <mergeCell ref="Z136:Z141"/>
    <mergeCell ref="D137:E137"/>
    <mergeCell ref="D138:E138"/>
    <mergeCell ref="D139:E139"/>
    <mergeCell ref="D140:E140"/>
    <mergeCell ref="D141:E141"/>
    <mergeCell ref="A142:B147"/>
    <mergeCell ref="C142:C147"/>
    <mergeCell ref="D142:E142"/>
    <mergeCell ref="F142:F147"/>
    <mergeCell ref="G142:G147"/>
    <mergeCell ref="I142:I147"/>
    <mergeCell ref="J142:J147"/>
    <mergeCell ref="K142:K147"/>
    <mergeCell ref="V142:V147"/>
    <mergeCell ref="W142:W147"/>
    <mergeCell ref="X142:X147"/>
    <mergeCell ref="Y142:Y147"/>
    <mergeCell ref="Z142:Z147"/>
    <mergeCell ref="D143:E143"/>
    <mergeCell ref="D144:E144"/>
    <mergeCell ref="D145:E145"/>
    <mergeCell ref="D146:E146"/>
    <mergeCell ref="D147:E147"/>
    <mergeCell ref="A148:B153"/>
    <mergeCell ref="C148:C153"/>
    <mergeCell ref="D148:E148"/>
    <mergeCell ref="F148:F153"/>
    <mergeCell ref="G148:G153"/>
    <mergeCell ref="I148:I153"/>
    <mergeCell ref="J148:J153"/>
    <mergeCell ref="K148:K153"/>
    <mergeCell ref="V148:V153"/>
    <mergeCell ref="W148:W153"/>
    <mergeCell ref="X148:X153"/>
    <mergeCell ref="Y148:Y153"/>
    <mergeCell ref="Z148:Z153"/>
    <mergeCell ref="D149:E149"/>
    <mergeCell ref="D150:E150"/>
    <mergeCell ref="D151:E151"/>
    <mergeCell ref="D152:E152"/>
    <mergeCell ref="D153:E153"/>
    <mergeCell ref="A154:B159"/>
    <mergeCell ref="C154:C159"/>
    <mergeCell ref="D154:E154"/>
    <mergeCell ref="F154:F159"/>
    <mergeCell ref="G154:G159"/>
    <mergeCell ref="I154:I159"/>
    <mergeCell ref="J154:J159"/>
    <mergeCell ref="K154:K159"/>
    <mergeCell ref="V154:V159"/>
    <mergeCell ref="W154:W159"/>
    <mergeCell ref="X154:X159"/>
    <mergeCell ref="Y154:Y159"/>
    <mergeCell ref="Z154:Z159"/>
    <mergeCell ref="D155:E155"/>
    <mergeCell ref="D156:E156"/>
    <mergeCell ref="D157:E157"/>
    <mergeCell ref="D158:E158"/>
    <mergeCell ref="D159:E159"/>
    <mergeCell ref="A160:B165"/>
    <mergeCell ref="C160:C165"/>
    <mergeCell ref="D160:E160"/>
    <mergeCell ref="F160:F165"/>
    <mergeCell ref="G160:G165"/>
    <mergeCell ref="I160:I165"/>
    <mergeCell ref="J160:J165"/>
    <mergeCell ref="K160:K165"/>
    <mergeCell ref="V160:V165"/>
    <mergeCell ref="W160:W165"/>
    <mergeCell ref="X160:X165"/>
    <mergeCell ref="Y160:Y165"/>
    <mergeCell ref="Z160:Z165"/>
    <mergeCell ref="D161:E161"/>
    <mergeCell ref="D162:E162"/>
    <mergeCell ref="D163:E163"/>
    <mergeCell ref="D164:E164"/>
    <mergeCell ref="D165:E165"/>
    <mergeCell ref="A166:B171"/>
    <mergeCell ref="C166:C171"/>
    <mergeCell ref="D166:E166"/>
    <mergeCell ref="F166:F171"/>
    <mergeCell ref="G166:G171"/>
    <mergeCell ref="I166:I171"/>
    <mergeCell ref="J166:J171"/>
    <mergeCell ref="K166:K171"/>
    <mergeCell ref="V166:V171"/>
    <mergeCell ref="W166:W171"/>
    <mergeCell ref="X166:X171"/>
    <mergeCell ref="Y166:Y171"/>
    <mergeCell ref="Z166:Z171"/>
    <mergeCell ref="D167:E167"/>
    <mergeCell ref="D168:E168"/>
    <mergeCell ref="D169:E169"/>
    <mergeCell ref="D170:E170"/>
    <mergeCell ref="D171:E171"/>
    <mergeCell ref="A172:B177"/>
    <mergeCell ref="C172:C177"/>
    <mergeCell ref="D172:E172"/>
    <mergeCell ref="F172:F177"/>
    <mergeCell ref="G172:G177"/>
    <mergeCell ref="I172:I177"/>
    <mergeCell ref="J172:J177"/>
    <mergeCell ref="K172:K177"/>
    <mergeCell ref="V172:V177"/>
    <mergeCell ref="W172:W177"/>
    <mergeCell ref="X172:X177"/>
    <mergeCell ref="Y172:Y177"/>
    <mergeCell ref="Z172:Z177"/>
    <mergeCell ref="D173:E173"/>
    <mergeCell ref="D174:E174"/>
    <mergeCell ref="D175:E175"/>
    <mergeCell ref="D176:E176"/>
    <mergeCell ref="D177:E177"/>
    <mergeCell ref="A178:B183"/>
    <mergeCell ref="C178:C183"/>
    <mergeCell ref="D178:E178"/>
    <mergeCell ref="F178:F183"/>
    <mergeCell ref="G178:G183"/>
    <mergeCell ref="I178:I183"/>
    <mergeCell ref="J178:J183"/>
    <mergeCell ref="K178:K183"/>
    <mergeCell ref="V178:V183"/>
    <mergeCell ref="W178:W183"/>
    <mergeCell ref="X178:X183"/>
    <mergeCell ref="Y178:Y183"/>
    <mergeCell ref="Z178:Z183"/>
    <mergeCell ref="D179:E179"/>
    <mergeCell ref="D180:E180"/>
    <mergeCell ref="D181:E181"/>
    <mergeCell ref="D182:E182"/>
    <mergeCell ref="D183:E183"/>
    <mergeCell ref="A184:B189"/>
    <mergeCell ref="C184:C189"/>
    <mergeCell ref="D184:E184"/>
    <mergeCell ref="F184:F189"/>
    <mergeCell ref="G184:G189"/>
    <mergeCell ref="I184:I189"/>
    <mergeCell ref="J184:J189"/>
    <mergeCell ref="K184:K189"/>
    <mergeCell ref="V184:V189"/>
    <mergeCell ref="W184:W189"/>
    <mergeCell ref="X184:X189"/>
    <mergeCell ref="Y184:Y189"/>
    <mergeCell ref="Z184:Z189"/>
    <mergeCell ref="D185:E185"/>
    <mergeCell ref="D186:E186"/>
    <mergeCell ref="D187:E187"/>
    <mergeCell ref="D188:E188"/>
    <mergeCell ref="D189:E189"/>
    <mergeCell ref="A190:B195"/>
    <mergeCell ref="C190:C195"/>
    <mergeCell ref="D190:E190"/>
    <mergeCell ref="F190:F195"/>
    <mergeCell ref="G190:G195"/>
    <mergeCell ref="I190:I195"/>
    <mergeCell ref="J190:J195"/>
    <mergeCell ref="K190:K195"/>
    <mergeCell ref="V190:V195"/>
    <mergeCell ref="W190:W195"/>
    <mergeCell ref="X190:X195"/>
    <mergeCell ref="Y190:Y195"/>
    <mergeCell ref="Z190:Z195"/>
    <mergeCell ref="D191:E191"/>
    <mergeCell ref="D192:E192"/>
    <mergeCell ref="D193:E193"/>
    <mergeCell ref="D194:E194"/>
    <mergeCell ref="D195:E195"/>
    <mergeCell ref="A196:B201"/>
    <mergeCell ref="C196:C201"/>
    <mergeCell ref="D196:E196"/>
    <mergeCell ref="F196:F201"/>
    <mergeCell ref="G196:G201"/>
    <mergeCell ref="I196:I201"/>
    <mergeCell ref="J196:J201"/>
    <mergeCell ref="K196:K201"/>
    <mergeCell ref="V196:V201"/>
    <mergeCell ref="W196:W201"/>
    <mergeCell ref="X196:X201"/>
    <mergeCell ref="Y196:Y201"/>
    <mergeCell ref="Z196:Z201"/>
    <mergeCell ref="D197:E197"/>
    <mergeCell ref="D198:E198"/>
    <mergeCell ref="D199:E199"/>
    <mergeCell ref="D200:E200"/>
    <mergeCell ref="D201:E201"/>
    <mergeCell ref="A202:B207"/>
    <mergeCell ref="C202:C207"/>
    <mergeCell ref="D202:E202"/>
    <mergeCell ref="F202:F207"/>
    <mergeCell ref="G202:G207"/>
    <mergeCell ref="I202:I207"/>
    <mergeCell ref="J202:J207"/>
    <mergeCell ref="K202:K207"/>
    <mergeCell ref="V202:V207"/>
    <mergeCell ref="W202:W207"/>
    <mergeCell ref="X202:X207"/>
    <mergeCell ref="Y202:Y207"/>
    <mergeCell ref="Z202:Z207"/>
    <mergeCell ref="D203:E203"/>
    <mergeCell ref="D204:E204"/>
    <mergeCell ref="D205:E205"/>
    <mergeCell ref="D206:E206"/>
    <mergeCell ref="D207:E207"/>
    <mergeCell ref="A208:B213"/>
    <mergeCell ref="C208:C213"/>
    <mergeCell ref="D208:E208"/>
    <mergeCell ref="F208:F213"/>
    <mergeCell ref="G208:G213"/>
    <mergeCell ref="I208:I213"/>
    <mergeCell ref="J208:J213"/>
    <mergeCell ref="K208:K213"/>
    <mergeCell ref="V208:V213"/>
    <mergeCell ref="W208:W213"/>
    <mergeCell ref="X208:X213"/>
    <mergeCell ref="Y208:Y213"/>
    <mergeCell ref="Z208:Z213"/>
    <mergeCell ref="D209:E209"/>
    <mergeCell ref="D210:E210"/>
    <mergeCell ref="D211:E211"/>
    <mergeCell ref="D212:E212"/>
    <mergeCell ref="D213:E213"/>
    <mergeCell ref="A214:B219"/>
    <mergeCell ref="C214:C219"/>
    <mergeCell ref="D214:E214"/>
    <mergeCell ref="F214:F219"/>
    <mergeCell ref="G214:G219"/>
    <mergeCell ref="I214:I219"/>
    <mergeCell ref="J214:J219"/>
    <mergeCell ref="K214:K219"/>
    <mergeCell ref="V214:V219"/>
    <mergeCell ref="W214:W219"/>
    <mergeCell ref="X214:X219"/>
    <mergeCell ref="Y214:Y219"/>
    <mergeCell ref="Z214:Z219"/>
    <mergeCell ref="D215:E215"/>
    <mergeCell ref="D216:E216"/>
    <mergeCell ref="D217:E217"/>
    <mergeCell ref="D218:E218"/>
    <mergeCell ref="D219:E219"/>
    <mergeCell ref="A220:B225"/>
    <mergeCell ref="C220:C225"/>
    <mergeCell ref="D220:E220"/>
    <mergeCell ref="F220:F225"/>
    <mergeCell ref="G220:G225"/>
    <mergeCell ref="I220:I225"/>
    <mergeCell ref="J220:J225"/>
    <mergeCell ref="K220:K225"/>
    <mergeCell ref="V220:V225"/>
    <mergeCell ref="W220:W225"/>
    <mergeCell ref="X220:X225"/>
    <mergeCell ref="Y220:Y225"/>
    <mergeCell ref="Z220:Z225"/>
    <mergeCell ref="D221:E221"/>
    <mergeCell ref="D222:E222"/>
    <mergeCell ref="D223:E223"/>
    <mergeCell ref="D224:E224"/>
    <mergeCell ref="D225:E225"/>
    <mergeCell ref="A226:B231"/>
    <mergeCell ref="C226:C231"/>
    <mergeCell ref="D226:E226"/>
    <mergeCell ref="F226:F231"/>
    <mergeCell ref="G226:G231"/>
    <mergeCell ref="I226:I231"/>
    <mergeCell ref="J226:J231"/>
    <mergeCell ref="K226:K231"/>
    <mergeCell ref="V226:V231"/>
    <mergeCell ref="W226:W231"/>
    <mergeCell ref="X226:X231"/>
    <mergeCell ref="Y226:Y231"/>
    <mergeCell ref="Z226:Z231"/>
    <mergeCell ref="D227:E227"/>
    <mergeCell ref="D228:E228"/>
    <mergeCell ref="D229:E229"/>
    <mergeCell ref="D230:E230"/>
    <mergeCell ref="D231:E231"/>
    <mergeCell ref="A232:B237"/>
    <mergeCell ref="C232:C237"/>
    <mergeCell ref="D232:E232"/>
    <mergeCell ref="F232:F237"/>
    <mergeCell ref="G232:G237"/>
    <mergeCell ref="I232:I237"/>
    <mergeCell ref="J232:J237"/>
    <mergeCell ref="K232:K237"/>
    <mergeCell ref="V232:V237"/>
    <mergeCell ref="W232:W237"/>
    <mergeCell ref="X232:X237"/>
    <mergeCell ref="Y232:Y237"/>
    <mergeCell ref="Z232:Z237"/>
    <mergeCell ref="D233:E233"/>
    <mergeCell ref="D234:E234"/>
    <mergeCell ref="D235:E235"/>
    <mergeCell ref="D236:E236"/>
    <mergeCell ref="D237:E237"/>
    <mergeCell ref="A238:B243"/>
    <mergeCell ref="C238:C243"/>
    <mergeCell ref="D238:E238"/>
    <mergeCell ref="F238:F243"/>
    <mergeCell ref="G238:G243"/>
    <mergeCell ref="I238:I243"/>
    <mergeCell ref="J238:J243"/>
    <mergeCell ref="K238:K243"/>
    <mergeCell ref="V238:V243"/>
    <mergeCell ref="W238:W243"/>
    <mergeCell ref="X238:X243"/>
    <mergeCell ref="Y238:Y243"/>
    <mergeCell ref="Z238:Z243"/>
    <mergeCell ref="D239:E239"/>
    <mergeCell ref="D240:E240"/>
    <mergeCell ref="D241:E241"/>
    <mergeCell ref="D242:E242"/>
    <mergeCell ref="D243:E243"/>
  </mergeCells>
  <conditionalFormatting sqref="Z8:Z10 K7:K10">
    <cfRule type="beginsWith" dxfId="87" priority="89" operator="beginsWith" text="B">
      <formula>LEFT(K7,LEN("B"))="B"</formula>
    </cfRule>
    <cfRule type="beginsWith" dxfId="86" priority="90" operator="beginsWith" text="M">
      <formula>LEFT(K7,LEN("M"))="M"</formula>
    </cfRule>
    <cfRule type="beginsWith" dxfId="85" priority="91" operator="beginsWith" text="A">
      <formula>LEFT(K7,LEN("A"))="A"</formula>
    </cfRule>
    <cfRule type="beginsWith" dxfId="84" priority="92" operator="beginsWith" text="E">
      <formula>LEFT(K7,LEN("E"))="E"</formula>
    </cfRule>
  </conditionalFormatting>
  <conditionalFormatting sqref="Z16 Z22 Z28 Z34 K16 K22 K28 K34 Z40 Z46 Z52 Z58 K40 K46 K52 K58">
    <cfRule type="beginsWith" dxfId="83" priority="85" operator="beginsWith" text="B">
      <formula>LEFT(K16,LEN("B"))="B"</formula>
    </cfRule>
    <cfRule type="beginsWith" dxfId="82" priority="86" operator="beginsWith" text="M">
      <formula>LEFT(K16,LEN("M"))="M"</formula>
    </cfRule>
    <cfRule type="beginsWith" dxfId="81" priority="87" operator="beginsWith" text="A">
      <formula>LEFT(K16,LEN("A"))="A"</formula>
    </cfRule>
    <cfRule type="beginsWith" dxfId="80" priority="88" operator="beginsWith" text="E">
      <formula>LEFT(K16,LEN("E"))="E"</formula>
    </cfRule>
  </conditionalFormatting>
  <conditionalFormatting sqref="Z64 K64">
    <cfRule type="beginsWith" dxfId="79" priority="81" operator="beginsWith" text="B">
      <formula>LEFT(K64,LEN("B"))="B"</formula>
    </cfRule>
    <cfRule type="beginsWith" dxfId="78" priority="82" operator="beginsWith" text="M">
      <formula>LEFT(K64,LEN("M"))="M"</formula>
    </cfRule>
    <cfRule type="beginsWith" dxfId="77" priority="83" operator="beginsWith" text="A">
      <formula>LEFT(K64,LEN("A"))="A"</formula>
    </cfRule>
    <cfRule type="beginsWith" dxfId="76" priority="84" operator="beginsWith" text="E">
      <formula>LEFT(K64,LEN("E"))="E"</formula>
    </cfRule>
  </conditionalFormatting>
  <conditionalFormatting sqref="Z70 K70">
    <cfRule type="beginsWith" dxfId="75" priority="73" operator="beginsWith" text="B">
      <formula>LEFT(K70,LEN("B"))="B"</formula>
    </cfRule>
    <cfRule type="beginsWith" dxfId="74" priority="74" operator="beginsWith" text="M">
      <formula>LEFT(K70,LEN("M"))="M"</formula>
    </cfRule>
    <cfRule type="beginsWith" dxfId="73" priority="75" operator="beginsWith" text="A">
      <formula>LEFT(K70,LEN("A"))="A"</formula>
    </cfRule>
    <cfRule type="beginsWith" dxfId="72" priority="76" operator="beginsWith" text="E">
      <formula>LEFT(K70,LEN("E"))="E"</formula>
    </cfRule>
  </conditionalFormatting>
  <conditionalFormatting sqref="Z76 K76">
    <cfRule type="beginsWith" dxfId="71" priority="69" operator="beginsWith" text="B">
      <formula>LEFT(K76,LEN("B"))="B"</formula>
    </cfRule>
    <cfRule type="beginsWith" dxfId="70" priority="70" operator="beginsWith" text="M">
      <formula>LEFT(K76,LEN("M"))="M"</formula>
    </cfRule>
    <cfRule type="beginsWith" dxfId="69" priority="71" operator="beginsWith" text="A">
      <formula>LEFT(K76,LEN("A"))="A"</formula>
    </cfRule>
    <cfRule type="beginsWith" dxfId="68" priority="72" operator="beginsWith" text="E">
      <formula>LEFT(K76,LEN("E"))="E"</formula>
    </cfRule>
  </conditionalFormatting>
  <conditionalFormatting sqref="Z82 Z88 Z94 Z100 K82 K88 K94 K100">
    <cfRule type="beginsWith" dxfId="67" priority="65" operator="beginsWith" text="B">
      <formula>LEFT(K82,LEN("B"))="B"</formula>
    </cfRule>
    <cfRule type="beginsWith" dxfId="66" priority="66" operator="beginsWith" text="M">
      <formula>LEFT(K82,LEN("M"))="M"</formula>
    </cfRule>
    <cfRule type="beginsWith" dxfId="65" priority="67" operator="beginsWith" text="A">
      <formula>LEFT(K82,LEN("A"))="A"</formula>
    </cfRule>
    <cfRule type="beginsWith" dxfId="64" priority="68" operator="beginsWith" text="E">
      <formula>LEFT(K82,LEN("E"))="E"</formula>
    </cfRule>
  </conditionalFormatting>
  <conditionalFormatting sqref="Z106 K106">
    <cfRule type="beginsWith" dxfId="63" priority="61" operator="beginsWith" text="B">
      <formula>LEFT(K106,LEN("B"))="B"</formula>
    </cfRule>
    <cfRule type="beginsWith" dxfId="62" priority="62" operator="beginsWith" text="M">
      <formula>LEFT(K106,LEN("M"))="M"</formula>
    </cfRule>
    <cfRule type="beginsWith" dxfId="61" priority="63" operator="beginsWith" text="A">
      <formula>LEFT(K106,LEN("A"))="A"</formula>
    </cfRule>
    <cfRule type="beginsWith" dxfId="60" priority="64" operator="beginsWith" text="E">
      <formula>LEFT(K106,LEN("E"))="E"</formula>
    </cfRule>
  </conditionalFormatting>
  <conditionalFormatting sqref="Z112 Z118 Z124 K112 K118 K124">
    <cfRule type="beginsWith" dxfId="59" priority="57" operator="beginsWith" text="B">
      <formula>LEFT(K112,LEN("B"))="B"</formula>
    </cfRule>
    <cfRule type="beginsWith" dxfId="58" priority="58" operator="beginsWith" text="M">
      <formula>LEFT(K112,LEN("M"))="M"</formula>
    </cfRule>
    <cfRule type="beginsWith" dxfId="57" priority="59" operator="beginsWith" text="A">
      <formula>LEFT(K112,LEN("A"))="A"</formula>
    </cfRule>
    <cfRule type="beginsWith" dxfId="56" priority="60" operator="beginsWith" text="E">
      <formula>LEFT(K112,LEN("E"))="E"</formula>
    </cfRule>
  </conditionalFormatting>
  <conditionalFormatting sqref="Z130 K130">
    <cfRule type="beginsWith" dxfId="55" priority="53" operator="beginsWith" text="B">
      <formula>LEFT(K130,LEN("B"))="B"</formula>
    </cfRule>
    <cfRule type="beginsWith" dxfId="54" priority="54" operator="beginsWith" text="M">
      <formula>LEFT(K130,LEN("M"))="M"</formula>
    </cfRule>
    <cfRule type="beginsWith" dxfId="53" priority="55" operator="beginsWith" text="A">
      <formula>LEFT(K130,LEN("A"))="A"</formula>
    </cfRule>
    <cfRule type="beginsWith" dxfId="52" priority="56" operator="beginsWith" text="E">
      <formula>LEFT(K130,LEN("E"))="E"</formula>
    </cfRule>
  </conditionalFormatting>
  <conditionalFormatting sqref="Z136 K136">
    <cfRule type="beginsWith" dxfId="51" priority="49" operator="beginsWith" text="B">
      <formula>LEFT(K136,LEN("B"))="B"</formula>
    </cfRule>
    <cfRule type="beginsWith" dxfId="50" priority="50" operator="beginsWith" text="M">
      <formula>LEFT(K136,LEN("M"))="M"</formula>
    </cfRule>
    <cfRule type="beginsWith" dxfId="49" priority="51" operator="beginsWith" text="A">
      <formula>LEFT(K136,LEN("A"))="A"</formula>
    </cfRule>
    <cfRule type="beginsWith" dxfId="48" priority="52" operator="beginsWith" text="E">
      <formula>LEFT(K136,LEN("E"))="E"</formula>
    </cfRule>
  </conditionalFormatting>
  <conditionalFormatting sqref="Z142 K142">
    <cfRule type="beginsWith" dxfId="47" priority="45" operator="beginsWith" text="B">
      <formula>LEFT(K142,LEN("B"))="B"</formula>
    </cfRule>
    <cfRule type="beginsWith" dxfId="46" priority="46" operator="beginsWith" text="M">
      <formula>LEFT(K142,LEN("M"))="M"</formula>
    </cfRule>
    <cfRule type="beginsWith" dxfId="45" priority="47" operator="beginsWith" text="A">
      <formula>LEFT(K142,LEN("A"))="A"</formula>
    </cfRule>
    <cfRule type="beginsWith" dxfId="44" priority="48" operator="beginsWith" text="E">
      <formula>LEFT(K142,LEN("E"))="E"</formula>
    </cfRule>
  </conditionalFormatting>
  <conditionalFormatting sqref="Z148 K148">
    <cfRule type="beginsWith" dxfId="43" priority="41" operator="beginsWith" text="B">
      <formula>LEFT(K148,LEN("B"))="B"</formula>
    </cfRule>
    <cfRule type="beginsWith" dxfId="42" priority="42" operator="beginsWith" text="M">
      <formula>LEFT(K148,LEN("M"))="M"</formula>
    </cfRule>
    <cfRule type="beginsWith" dxfId="41" priority="43" operator="beginsWith" text="A">
      <formula>LEFT(K148,LEN("A"))="A"</formula>
    </cfRule>
    <cfRule type="beginsWith" dxfId="40" priority="44" operator="beginsWith" text="E">
      <formula>LEFT(K148,LEN("E"))="E"</formula>
    </cfRule>
  </conditionalFormatting>
  <conditionalFormatting sqref="Z154 K154">
    <cfRule type="beginsWith" dxfId="39" priority="37" operator="beginsWith" text="B">
      <formula>LEFT(K154,LEN("B"))="B"</formula>
    </cfRule>
    <cfRule type="beginsWith" dxfId="38" priority="38" operator="beginsWith" text="M">
      <formula>LEFT(K154,LEN("M"))="M"</formula>
    </cfRule>
    <cfRule type="beginsWith" dxfId="37" priority="39" operator="beginsWith" text="A">
      <formula>LEFT(K154,LEN("A"))="A"</formula>
    </cfRule>
    <cfRule type="beginsWith" dxfId="36" priority="40" operator="beginsWith" text="E">
      <formula>LEFT(K154,LEN("E"))="E"</formula>
    </cfRule>
  </conditionalFormatting>
  <conditionalFormatting sqref="Z160 K160">
    <cfRule type="beginsWith" dxfId="35" priority="33" operator="beginsWith" text="B">
      <formula>LEFT(K160,LEN("B"))="B"</formula>
    </cfRule>
    <cfRule type="beginsWith" dxfId="34" priority="34" operator="beginsWith" text="M">
      <formula>LEFT(K160,LEN("M"))="M"</formula>
    </cfRule>
    <cfRule type="beginsWith" dxfId="33" priority="35" operator="beginsWith" text="A">
      <formula>LEFT(K160,LEN("A"))="A"</formula>
    </cfRule>
    <cfRule type="beginsWith" dxfId="32" priority="36" operator="beginsWith" text="E">
      <formula>LEFT(K160,LEN("E"))="E"</formula>
    </cfRule>
  </conditionalFormatting>
  <conditionalFormatting sqref="Z166 Z172 K166 K172">
    <cfRule type="beginsWith" dxfId="31" priority="29" operator="beginsWith" text="B">
      <formula>LEFT(K166,LEN("B"))="B"</formula>
    </cfRule>
    <cfRule type="beginsWith" dxfId="30" priority="30" operator="beginsWith" text="M">
      <formula>LEFT(K166,LEN("M"))="M"</formula>
    </cfRule>
    <cfRule type="beginsWith" dxfId="29" priority="31" operator="beginsWith" text="A">
      <formula>LEFT(K166,LEN("A"))="A"</formula>
    </cfRule>
    <cfRule type="beginsWith" dxfId="28" priority="32" operator="beginsWith" text="E">
      <formula>LEFT(K166,LEN("E"))="E"</formula>
    </cfRule>
  </conditionalFormatting>
  <conditionalFormatting sqref="Z178 K178">
    <cfRule type="beginsWith" dxfId="27" priority="25" operator="beginsWith" text="B">
      <formula>LEFT(K178,LEN("B"))="B"</formula>
    </cfRule>
    <cfRule type="beginsWith" dxfId="26" priority="26" operator="beginsWith" text="M">
      <formula>LEFT(K178,LEN("M"))="M"</formula>
    </cfRule>
    <cfRule type="beginsWith" dxfId="25" priority="27" operator="beginsWith" text="A">
      <formula>LEFT(K178,LEN("A"))="A"</formula>
    </cfRule>
    <cfRule type="beginsWith" dxfId="24" priority="28" operator="beginsWith" text="E">
      <formula>LEFT(K178,LEN("E"))="E"</formula>
    </cfRule>
  </conditionalFormatting>
  <conditionalFormatting sqref="Z184 K184">
    <cfRule type="beginsWith" dxfId="23" priority="21" operator="beginsWith" text="B">
      <formula>LEFT(K184,LEN("B"))="B"</formula>
    </cfRule>
    <cfRule type="beginsWith" dxfId="22" priority="22" operator="beginsWith" text="M">
      <formula>LEFT(K184,LEN("M"))="M"</formula>
    </cfRule>
    <cfRule type="beginsWith" dxfId="21" priority="23" operator="beginsWith" text="A">
      <formula>LEFT(K184,LEN("A"))="A"</formula>
    </cfRule>
    <cfRule type="beginsWith" dxfId="20" priority="24" operator="beginsWith" text="E">
      <formula>LEFT(K184,LEN("E"))="E"</formula>
    </cfRule>
  </conditionalFormatting>
  <conditionalFormatting sqref="Z190 Z196 Z202 Z208 Z214 K190 K196 K202 K208 K214">
    <cfRule type="beginsWith" dxfId="19" priority="17" operator="beginsWith" text="B">
      <formula>LEFT(K190,LEN("B"))="B"</formula>
    </cfRule>
    <cfRule type="beginsWith" dxfId="18" priority="18" operator="beginsWith" text="M">
      <formula>LEFT(K190,LEN("M"))="M"</formula>
    </cfRule>
    <cfRule type="beginsWith" dxfId="17" priority="19" operator="beginsWith" text="A">
      <formula>LEFT(K190,LEN("A"))="A"</formula>
    </cfRule>
    <cfRule type="beginsWith" dxfId="16" priority="20" operator="beginsWith" text="E">
      <formula>LEFT(K190,LEN("E"))="E"</formula>
    </cfRule>
  </conditionalFormatting>
  <conditionalFormatting sqref="Z220 K220">
    <cfRule type="beginsWith" dxfId="15" priority="13" operator="beginsWith" text="B">
      <formula>LEFT(K220,LEN("B"))="B"</formula>
    </cfRule>
    <cfRule type="beginsWith" dxfId="14" priority="14" operator="beginsWith" text="M">
      <formula>LEFT(K220,LEN("M"))="M"</formula>
    </cfRule>
    <cfRule type="beginsWith" dxfId="13" priority="15" operator="beginsWith" text="A">
      <formula>LEFT(K220,LEN("A"))="A"</formula>
    </cfRule>
    <cfRule type="beginsWith" dxfId="12" priority="16" operator="beginsWith" text="E">
      <formula>LEFT(K220,LEN("E"))="E"</formula>
    </cfRule>
  </conditionalFormatting>
  <conditionalFormatting sqref="Z226 K226">
    <cfRule type="beginsWith" dxfId="11" priority="9" operator="beginsWith" text="B">
      <formula>LEFT(K226,LEN("B"))="B"</formula>
    </cfRule>
    <cfRule type="beginsWith" dxfId="10" priority="10" operator="beginsWith" text="M">
      <formula>LEFT(K226,LEN("M"))="M"</formula>
    </cfRule>
    <cfRule type="beginsWith" dxfId="9" priority="11" operator="beginsWith" text="A">
      <formula>LEFT(K226,LEN("A"))="A"</formula>
    </cfRule>
    <cfRule type="beginsWith" dxfId="8" priority="12" operator="beginsWith" text="E">
      <formula>LEFT(K226,LEN("E"))="E"</formula>
    </cfRule>
  </conditionalFormatting>
  <conditionalFormatting sqref="Z232 K232">
    <cfRule type="beginsWith" dxfId="7" priority="5" operator="beginsWith" text="B">
      <formula>LEFT(K232,LEN("B"))="B"</formula>
    </cfRule>
    <cfRule type="beginsWith" dxfId="6" priority="6" operator="beginsWith" text="M">
      <formula>LEFT(K232,LEN("M"))="M"</formula>
    </cfRule>
    <cfRule type="beginsWith" dxfId="5" priority="7" operator="beginsWith" text="A">
      <formula>LEFT(K232,LEN("A"))="A"</formula>
    </cfRule>
    <cfRule type="beginsWith" dxfId="4" priority="8" operator="beginsWith" text="E">
      <formula>LEFT(K232,LEN("E"))="E"</formula>
    </cfRule>
  </conditionalFormatting>
  <conditionalFormatting sqref="Z238 K238">
    <cfRule type="beginsWith" dxfId="3" priority="1" operator="beginsWith" text="B">
      <formula>LEFT(K238,LEN("B"))="B"</formula>
    </cfRule>
    <cfRule type="beginsWith" dxfId="2" priority="2" operator="beginsWith" text="M">
      <formula>LEFT(K238,LEN("M"))="M"</formula>
    </cfRule>
    <cfRule type="beginsWith" dxfId="1" priority="3" operator="beginsWith" text="A">
      <formula>LEFT(K238,LEN("A"))="A"</formula>
    </cfRule>
    <cfRule type="beginsWith" dxfId="0" priority="4" operator="beginsWith" text="E">
      <formula>LEFT(K238,LEN("E"))="E"</formula>
    </cfRule>
  </conditionalFormatting>
  <pageMargins left="0.7" right="0.7" top="0.75" bottom="0.75" header="0.3" footer="0.3"/>
  <pageSetup scale="10" orientation="portrait" r:id="rId1"/>
  <rowBreaks count="1" manualBreakCount="1">
    <brk id="135" max="32" man="1"/>
  </rowBreak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[1]Datos!#REF!</xm:f>
          </x14:formula1>
          <xm:sqref>I10:J39 M10:T39</xm:sqref>
        </x14:dataValidation>
        <x14:dataValidation type="list" allowBlank="1" showInputMessage="1" showErrorMessage="1">
          <x14:formula1>
            <xm:f>[14]Datos!#REF!</xm:f>
          </x14:formula1>
          <xm:sqref>I40:J63 M40:T63</xm:sqref>
        </x14:dataValidation>
        <x14:dataValidation type="list" allowBlank="1" showInputMessage="1" showErrorMessage="1">
          <x14:formula1>
            <xm:f>[2]Datos!#REF!</xm:f>
          </x14:formula1>
          <xm:sqref>I64:J75 M64:T75</xm:sqref>
        </x14:dataValidation>
        <x14:dataValidation type="list" allowBlank="1" showInputMessage="1" showErrorMessage="1">
          <x14:formula1>
            <xm:f>[3]Datos!#REF!</xm:f>
          </x14:formula1>
          <xm:sqref>A76 A82 A88 A94 A100 I76:J105 M76:T105</xm:sqref>
        </x14:dataValidation>
        <x14:dataValidation type="list" allowBlank="1" showInputMessage="1" showErrorMessage="1">
          <x14:formula1>
            <xm:f>[4]Datos!#REF!</xm:f>
          </x14:formula1>
          <xm:sqref>I106:J129 M106:T129</xm:sqref>
        </x14:dataValidation>
        <x14:dataValidation type="list" allowBlank="1" showInputMessage="1" showErrorMessage="1">
          <x14:formula1>
            <xm:f>[5]Datos!#REF!</xm:f>
          </x14:formula1>
          <xm:sqref>I130:J135 M130:T135</xm:sqref>
        </x14:dataValidation>
        <x14:dataValidation type="list" allowBlank="1" showInputMessage="1" showErrorMessage="1">
          <x14:formula1>
            <xm:f>[6]Datos!#REF!</xm:f>
          </x14:formula1>
          <xm:sqref>A136 I136:J141 M136:T141</xm:sqref>
        </x14:dataValidation>
        <x14:dataValidation type="list" allowBlank="1" showInputMessage="1" showErrorMessage="1">
          <x14:formula1>
            <xm:f>[7]Datos!#REF!</xm:f>
          </x14:formula1>
          <xm:sqref>I142:J147 M142:T147</xm:sqref>
        </x14:dataValidation>
        <x14:dataValidation type="list" allowBlank="1" showInputMessage="1" showErrorMessage="1">
          <x14:formula1>
            <xm:f>[8]Datos!#REF!</xm:f>
          </x14:formula1>
          <xm:sqref>A148 I148:J153 M148:T153</xm:sqref>
        </x14:dataValidation>
        <x14:dataValidation type="list" allowBlank="1" showInputMessage="1" showErrorMessage="1">
          <x14:formula1>
            <xm:f>[9]Datos!#REF!</xm:f>
          </x14:formula1>
          <xm:sqref>A154 A160 I154:J165 M154:T165</xm:sqref>
        </x14:dataValidation>
        <x14:dataValidation type="list" allowBlank="1" showInputMessage="1" showErrorMessage="1">
          <x14:formula1>
            <xm:f>[10]Datos!#REF!</xm:f>
          </x14:formula1>
          <xm:sqref>A166 A172 A178 I166:J183 M166:T183</xm:sqref>
        </x14:dataValidation>
        <x14:dataValidation type="list" allowBlank="1" showInputMessage="1" showErrorMessage="1">
          <x14:formula1>
            <xm:f>[15]Datos!#REF!</xm:f>
          </x14:formula1>
          <xm:sqref>M214:T215</xm:sqref>
        </x14:dataValidation>
        <x14:dataValidation type="list" allowBlank="1" showInputMessage="1" showErrorMessage="1">
          <x14:formula1>
            <xm:f>[11]Datos!#REF!</xm:f>
          </x14:formula1>
          <xm:sqref>A184 A190 A196 A202 A208 A214 I184:J219 M184:T213 M216:T219</xm:sqref>
        </x14:dataValidation>
        <x14:dataValidation type="list" allowBlank="1" showInputMessage="1" showErrorMessage="1">
          <x14:formula1>
            <xm:f>[12]Datos!#REF!</xm:f>
          </x14:formula1>
          <xm:sqref>I220:J231 M220:T231</xm:sqref>
        </x14:dataValidation>
        <x14:dataValidation type="list" allowBlank="1" showInputMessage="1" showErrorMessage="1">
          <x14:formula1>
            <xm:f>[13]Datos!#REF!</xm:f>
          </x14:formula1>
          <xm:sqref>A232 A238 I232:J243 M232:T243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Nelcy Aracely Garzon Guzman</dc:creator>
  <cp:lastModifiedBy>df</cp:lastModifiedBy>
  <cp:lastPrinted>2018-02-19T20:39:45Z</cp:lastPrinted>
  <dcterms:created xsi:type="dcterms:W3CDTF">2018-02-01T16:28:40Z</dcterms:created>
  <dcterms:modified xsi:type="dcterms:W3CDTF">2018-02-19T21:24:29Z</dcterms:modified>
</cp:coreProperties>
</file>